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0" windowWidth="14780" windowHeight="16080" tabRatio="801" activeTab="3"/>
  </bookViews>
  <sheets>
    <sheet name="Income Statement" sheetId="13" r:id="rId1"/>
    <sheet name="Balance Sheet" sheetId="14" r:id="rId2"/>
    <sheet name="Statement of Cash Flows" sheetId="16" r:id="rId3"/>
    <sheet name="Capital Needs" sheetId="10" r:id="rId4"/>
    <sheet name="Summary" sheetId="17" r:id="rId5"/>
  </sheets>
  <externalReferences>
    <externalReference r:id="rId6"/>
    <externalReference r:id="rId7"/>
    <externalReference r:id="rId8"/>
    <externalReference r:id="rId9"/>
  </externalReferences>
  <definedNames>
    <definedName name="\H">#REF!</definedName>
    <definedName name="HELP">#REF!</definedName>
    <definedName name="_xlnm.Print_Area" localSheetId="3">'Capital Needs'!$A$1:$E$45</definedName>
    <definedName name="_xlnm.Print_Area" localSheetId="4">Summary!$A$1:$Z$78</definedName>
    <definedName name="PRINT_H">#REF!</definedName>
    <definedName name="_xlnm.Print_Titles" localSheetId="4">Summary!$A:$B,Summary!$1:$1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6" l="1"/>
  <c r="G71" i="13"/>
  <c r="B25" i="10"/>
  <c r="C27" i="13"/>
  <c r="C51" i="13"/>
  <c r="C52" i="13"/>
  <c r="C61" i="13"/>
  <c r="C69" i="13"/>
  <c r="C70" i="13"/>
  <c r="C71" i="13"/>
  <c r="B27" i="13"/>
  <c r="B51" i="13"/>
  <c r="B52" i="13"/>
  <c r="B61" i="13"/>
  <c r="B69" i="13"/>
  <c r="B70" i="13"/>
  <c r="B71" i="13"/>
  <c r="D66" i="13"/>
  <c r="D67" i="13"/>
  <c r="B29" i="14"/>
  <c r="B30" i="14"/>
  <c r="B36" i="14"/>
  <c r="B37" i="14"/>
  <c r="B30" i="10"/>
  <c r="B14" i="10"/>
  <c r="B10" i="10"/>
  <c r="B9" i="14"/>
  <c r="B16" i="14"/>
  <c r="B9" i="16"/>
  <c r="B13" i="16"/>
  <c r="F27" i="13"/>
  <c r="F51" i="13"/>
  <c r="F52" i="13"/>
  <c r="F61" i="13"/>
  <c r="F69" i="13"/>
  <c r="F70" i="13"/>
  <c r="F71" i="13"/>
  <c r="G27" i="13"/>
  <c r="G51" i="13"/>
  <c r="G52" i="13"/>
  <c r="G69" i="13"/>
  <c r="G61" i="13"/>
  <c r="G70" i="13"/>
  <c r="D71" i="13"/>
  <c r="D64" i="13"/>
  <c r="D22" i="13"/>
  <c r="S90" i="17"/>
  <c r="P90" i="17"/>
  <c r="M90" i="17"/>
  <c r="Z90" i="17"/>
  <c r="J90" i="17"/>
  <c r="S89" i="17"/>
  <c r="S92" i="17"/>
  <c r="S82" i="17"/>
  <c r="S83" i="17"/>
  <c r="S85" i="17"/>
  <c r="S94" i="17"/>
  <c r="P89" i="17"/>
  <c r="P92" i="17"/>
  <c r="M89" i="17"/>
  <c r="M92" i="17"/>
  <c r="J89" i="17"/>
  <c r="J92" i="17"/>
  <c r="V92" i="17"/>
  <c r="J82" i="17"/>
  <c r="J85" i="17"/>
  <c r="M83" i="17"/>
  <c r="V83" i="17"/>
  <c r="P83" i="17"/>
  <c r="P82" i="17"/>
  <c r="P85" i="17"/>
  <c r="M82" i="17"/>
  <c r="M85" i="17"/>
  <c r="Y85" i="17"/>
  <c r="W83" i="17"/>
  <c r="Y82" i="17"/>
  <c r="S70" i="17"/>
  <c r="S71" i="17"/>
  <c r="S72" i="17"/>
  <c r="S73" i="17"/>
  <c r="S74" i="17"/>
  <c r="S76" i="17"/>
  <c r="M70" i="17"/>
  <c r="M71" i="17"/>
  <c r="J71" i="17"/>
  <c r="W71" i="17"/>
  <c r="M72" i="17"/>
  <c r="M73" i="17"/>
  <c r="J73" i="17"/>
  <c r="W73" i="17"/>
  <c r="V73" i="17"/>
  <c r="M74" i="17"/>
  <c r="M76" i="17"/>
  <c r="Y75" i="17"/>
  <c r="P74" i="17"/>
  <c r="Y74" i="17"/>
  <c r="J74" i="17"/>
  <c r="W74" i="17"/>
  <c r="V74" i="17"/>
  <c r="P73" i="17"/>
  <c r="Y73" i="17"/>
  <c r="P72" i="17"/>
  <c r="Y72" i="17"/>
  <c r="J72" i="17"/>
  <c r="V72" i="17"/>
  <c r="P71" i="17"/>
  <c r="Y71" i="17"/>
  <c r="J70" i="17"/>
  <c r="J76" i="17"/>
  <c r="V71" i="17"/>
  <c r="P70" i="17"/>
  <c r="P76" i="17"/>
  <c r="Y76" i="17"/>
  <c r="V70" i="17"/>
  <c r="S64" i="17"/>
  <c r="P64" i="17"/>
  <c r="M64" i="17"/>
  <c r="Y64" i="17"/>
  <c r="Z64" i="17"/>
  <c r="J64" i="17"/>
  <c r="W64" i="17"/>
  <c r="V64" i="17"/>
  <c r="S63" i="17"/>
  <c r="P63" i="17"/>
  <c r="M63" i="17"/>
  <c r="Y63" i="17"/>
  <c r="J63" i="17"/>
  <c r="S62" i="17"/>
  <c r="P62" i="17"/>
  <c r="M62" i="17"/>
  <c r="Y62" i="17"/>
  <c r="J62" i="17"/>
  <c r="S61" i="17"/>
  <c r="P61" i="17"/>
  <c r="M61" i="17"/>
  <c r="Y61" i="17"/>
  <c r="J61" i="17"/>
  <c r="S60" i="17"/>
  <c r="P60" i="17"/>
  <c r="M60" i="17"/>
  <c r="Y60" i="17"/>
  <c r="J60" i="17"/>
  <c r="S59" i="17"/>
  <c r="P59" i="17"/>
  <c r="M59" i="17"/>
  <c r="Y59" i="17"/>
  <c r="J59" i="17"/>
  <c r="S58" i="17"/>
  <c r="P58" i="17"/>
  <c r="M58" i="17"/>
  <c r="Y58" i="17"/>
  <c r="J58" i="17"/>
  <c r="S57" i="17"/>
  <c r="P57" i="17"/>
  <c r="M57" i="17"/>
  <c r="Y57" i="17"/>
  <c r="J57" i="17"/>
  <c r="J54" i="17"/>
  <c r="J55" i="17"/>
  <c r="J56" i="17"/>
  <c r="J66" i="17"/>
  <c r="J78" i="17"/>
  <c r="S56" i="17"/>
  <c r="P56" i="17"/>
  <c r="M56" i="17"/>
  <c r="Y56" i="17"/>
  <c r="V56" i="17"/>
  <c r="S55" i="17"/>
  <c r="P55" i="17"/>
  <c r="M55" i="17"/>
  <c r="Y55" i="17"/>
  <c r="Z55" i="17"/>
  <c r="V55" i="17"/>
  <c r="S54" i="17"/>
  <c r="S66" i="17"/>
  <c r="S78" i="17"/>
  <c r="P54" i="17"/>
  <c r="P66" i="17"/>
  <c r="P78" i="17"/>
  <c r="M54" i="17"/>
  <c r="V54" i="17"/>
  <c r="G48" i="17"/>
  <c r="H46" i="17"/>
  <c r="D48" i="17"/>
  <c r="E31" i="17"/>
  <c r="P46" i="17"/>
  <c r="S46" i="17"/>
  <c r="V46" i="17"/>
  <c r="M46" i="17"/>
  <c r="Z46" i="17"/>
  <c r="W46" i="17"/>
  <c r="J46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8" i="17"/>
  <c r="K46" i="17"/>
  <c r="E46" i="17"/>
  <c r="P45" i="17"/>
  <c r="S45" i="17"/>
  <c r="V45" i="17"/>
  <c r="M45" i="17"/>
  <c r="Z45" i="17"/>
  <c r="W45" i="17"/>
  <c r="E45" i="17"/>
  <c r="P44" i="17"/>
  <c r="S44" i="17"/>
  <c r="V44" i="17"/>
  <c r="M44" i="17"/>
  <c r="Z44" i="17"/>
  <c r="W44" i="17"/>
  <c r="E44" i="17"/>
  <c r="P43" i="17"/>
  <c r="S43" i="17"/>
  <c r="V43" i="17"/>
  <c r="M43" i="17"/>
  <c r="Z43" i="17"/>
  <c r="W43" i="17"/>
  <c r="K43" i="17"/>
  <c r="E43" i="17"/>
  <c r="P42" i="17"/>
  <c r="S42" i="17"/>
  <c r="V42" i="17"/>
  <c r="M42" i="17"/>
  <c r="Z42" i="17"/>
  <c r="W42" i="17"/>
  <c r="K42" i="17"/>
  <c r="E42" i="17"/>
  <c r="P41" i="17"/>
  <c r="S41" i="17"/>
  <c r="V41" i="17"/>
  <c r="M41" i="17"/>
  <c r="Z41" i="17"/>
  <c r="W41" i="17"/>
  <c r="E41" i="17"/>
  <c r="P40" i="17"/>
  <c r="S40" i="17"/>
  <c r="V40" i="17"/>
  <c r="M40" i="17"/>
  <c r="Z40" i="17"/>
  <c r="W40" i="17"/>
  <c r="E40" i="17"/>
  <c r="P39" i="17"/>
  <c r="M39" i="17"/>
  <c r="Y39" i="17"/>
  <c r="S39" i="17"/>
  <c r="V39" i="17"/>
  <c r="K39" i="17"/>
  <c r="E39" i="17"/>
  <c r="P38" i="17"/>
  <c r="M38" i="17"/>
  <c r="Y38" i="17"/>
  <c r="S38" i="17"/>
  <c r="V38" i="17"/>
  <c r="K38" i="17"/>
  <c r="E38" i="17"/>
  <c r="P37" i="17"/>
  <c r="S37" i="17"/>
  <c r="V37" i="17"/>
  <c r="M37" i="17"/>
  <c r="Z37" i="17"/>
  <c r="W37" i="17"/>
  <c r="E37" i="17"/>
  <c r="P36" i="17"/>
  <c r="S36" i="17"/>
  <c r="V36" i="17"/>
  <c r="M36" i="17"/>
  <c r="Z36" i="17"/>
  <c r="W36" i="17"/>
  <c r="E36" i="17"/>
  <c r="P35" i="17"/>
  <c r="S35" i="17"/>
  <c r="V35" i="17"/>
  <c r="M35" i="17"/>
  <c r="Z35" i="17"/>
  <c r="W35" i="17"/>
  <c r="K35" i="17"/>
  <c r="E35" i="17"/>
  <c r="P34" i="17"/>
  <c r="S34" i="17"/>
  <c r="V34" i="17"/>
  <c r="M34" i="17"/>
  <c r="Z34" i="17"/>
  <c r="W34" i="17"/>
  <c r="K34" i="17"/>
  <c r="E34" i="17"/>
  <c r="P33" i="17"/>
  <c r="S33" i="17"/>
  <c r="V33" i="17"/>
  <c r="M33" i="17"/>
  <c r="Z33" i="17"/>
  <c r="W33" i="17"/>
  <c r="E33" i="17"/>
  <c r="P32" i="17"/>
  <c r="S32" i="17"/>
  <c r="V32" i="17"/>
  <c r="M32" i="17"/>
  <c r="Z32" i="17"/>
  <c r="W32" i="17"/>
  <c r="E32" i="17"/>
  <c r="S31" i="17"/>
  <c r="P31" i="17"/>
  <c r="V31" i="17"/>
  <c r="M31" i="17"/>
  <c r="M24" i="17"/>
  <c r="M25" i="17"/>
  <c r="M26" i="17"/>
  <c r="M27" i="17"/>
  <c r="M28" i="17"/>
  <c r="M29" i="17"/>
  <c r="M30" i="17"/>
  <c r="M48" i="17"/>
  <c r="H31" i="17"/>
  <c r="S30" i="17"/>
  <c r="P30" i="17"/>
  <c r="V30" i="17"/>
  <c r="W30" i="17"/>
  <c r="Z30" i="17"/>
  <c r="H30" i="17"/>
  <c r="S29" i="17"/>
  <c r="P29" i="17"/>
  <c r="W29" i="17"/>
  <c r="Z29" i="17"/>
  <c r="H29" i="17"/>
  <c r="S28" i="17"/>
  <c r="P28" i="17"/>
  <c r="V28" i="17"/>
  <c r="W28" i="17"/>
  <c r="Z28" i="17"/>
  <c r="H28" i="17"/>
  <c r="S27" i="17"/>
  <c r="P27" i="17"/>
  <c r="W27" i="17"/>
  <c r="Z27" i="17"/>
  <c r="H27" i="17"/>
  <c r="S26" i="17"/>
  <c r="P26" i="17"/>
  <c r="V26" i="17"/>
  <c r="W26" i="17"/>
  <c r="Z26" i="17"/>
  <c r="H26" i="17"/>
  <c r="S25" i="17"/>
  <c r="P25" i="17"/>
  <c r="W25" i="17"/>
  <c r="Z25" i="17"/>
  <c r="H25" i="17"/>
  <c r="S24" i="17"/>
  <c r="P24" i="17"/>
  <c r="V24" i="17"/>
  <c r="W24" i="17"/>
  <c r="Z24" i="17"/>
  <c r="H24" i="17"/>
  <c r="E24" i="17"/>
  <c r="G20" i="17"/>
  <c r="G50" i="17"/>
  <c r="D20" i="17"/>
  <c r="E17" i="17"/>
  <c r="S18" i="17"/>
  <c r="P18" i="17"/>
  <c r="V18" i="17"/>
  <c r="M18" i="17"/>
  <c r="Z18" i="17"/>
  <c r="J18" i="17"/>
  <c r="S17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20" i="17"/>
  <c r="T17" i="17"/>
  <c r="V17" i="17"/>
  <c r="M17" i="17"/>
  <c r="J17" i="17"/>
  <c r="J5" i="17"/>
  <c r="J6" i="17"/>
  <c r="J7" i="17"/>
  <c r="J8" i="17"/>
  <c r="J9" i="17"/>
  <c r="J10" i="17"/>
  <c r="J11" i="17"/>
  <c r="J12" i="17"/>
  <c r="J13" i="17"/>
  <c r="J14" i="17"/>
  <c r="J15" i="17"/>
  <c r="J16" i="17"/>
  <c r="J20" i="17"/>
  <c r="K12" i="17"/>
  <c r="K16" i="17"/>
  <c r="S16" i="17"/>
  <c r="S5" i="17"/>
  <c r="V5" i="17"/>
  <c r="M7" i="17"/>
  <c r="Z7" i="17"/>
  <c r="S9" i="17"/>
  <c r="V9" i="17"/>
  <c r="Q11" i="17"/>
  <c r="Q13" i="17"/>
  <c r="M15" i="17"/>
  <c r="Y15" i="17"/>
  <c r="T16" i="17"/>
  <c r="M16" i="17"/>
  <c r="Y16" i="17"/>
  <c r="E16" i="17"/>
  <c r="S15" i="17"/>
  <c r="S14" i="17"/>
  <c r="T14" i="17"/>
  <c r="M14" i="17"/>
  <c r="Z14" i="17"/>
  <c r="E14" i="17"/>
  <c r="S13" i="17"/>
  <c r="V13" i="17"/>
  <c r="M13" i="17"/>
  <c r="S12" i="17"/>
  <c r="V12" i="17"/>
  <c r="M12" i="17"/>
  <c r="Z12" i="17"/>
  <c r="W12" i="17"/>
  <c r="H12" i="17"/>
  <c r="M11" i="17"/>
  <c r="Y11" i="17"/>
  <c r="S11" i="17"/>
  <c r="V11" i="17"/>
  <c r="S10" i="17"/>
  <c r="V10" i="17"/>
  <c r="M10" i="17"/>
  <c r="Z10" i="17"/>
  <c r="W10" i="17"/>
  <c r="H10" i="17"/>
  <c r="M9" i="17"/>
  <c r="Z9" i="17"/>
  <c r="W9" i="17"/>
  <c r="H9" i="17"/>
  <c r="S8" i="17"/>
  <c r="V8" i="17"/>
  <c r="M8" i="17"/>
  <c r="Z8" i="17"/>
  <c r="W8" i="17"/>
  <c r="Y8" i="17"/>
  <c r="S7" i="17"/>
  <c r="W7" i="17"/>
  <c r="V7" i="17"/>
  <c r="S6" i="17"/>
  <c r="V6" i="17"/>
  <c r="M6" i="17"/>
  <c r="Z6" i="17"/>
  <c r="W6" i="17"/>
  <c r="H6" i="17"/>
  <c r="M5" i="17"/>
  <c r="Z5" i="17"/>
  <c r="W5" i="17"/>
  <c r="H5" i="17"/>
  <c r="D68" i="13"/>
  <c r="D65" i="13"/>
  <c r="D63" i="13"/>
  <c r="D61" i="13"/>
  <c r="D60" i="13"/>
  <c r="D59" i="13"/>
  <c r="D58" i="13"/>
  <c r="D57" i="13"/>
  <c r="D56" i="13"/>
  <c r="D55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6" i="13"/>
  <c r="D25" i="13"/>
  <c r="D24" i="13"/>
  <c r="D23" i="13"/>
  <c r="D21" i="13"/>
  <c r="D20" i="13"/>
  <c r="D19" i="13"/>
  <c r="D18" i="13"/>
  <c r="D17" i="13"/>
  <c r="G10" i="13"/>
  <c r="G11" i="13"/>
  <c r="C10" i="13"/>
  <c r="C11" i="13"/>
  <c r="C7" i="13"/>
  <c r="C8" i="13"/>
  <c r="B7" i="13"/>
  <c r="B8" i="13"/>
  <c r="F7" i="13"/>
  <c r="F8" i="13"/>
  <c r="G7" i="13"/>
  <c r="G8" i="13"/>
  <c r="Y13" i="17"/>
  <c r="Y17" i="17"/>
  <c r="E12" i="17"/>
  <c r="E10" i="17"/>
  <c r="E8" i="17"/>
  <c r="E6" i="17"/>
  <c r="K24" i="17"/>
  <c r="P48" i="17"/>
  <c r="Q24" i="17"/>
  <c r="Q25" i="17"/>
  <c r="Q27" i="17"/>
  <c r="Q29" i="17"/>
  <c r="Q31" i="17"/>
  <c r="Q33" i="17"/>
  <c r="Q35" i="17"/>
  <c r="Q37" i="17"/>
  <c r="Q39" i="17"/>
  <c r="Q41" i="17"/>
  <c r="Q43" i="17"/>
  <c r="Q45" i="17"/>
  <c r="V16" i="17"/>
  <c r="T13" i="17"/>
  <c r="V25" i="17"/>
  <c r="V27" i="17"/>
  <c r="V29" i="17"/>
  <c r="W14" i="17"/>
  <c r="H18" i="17"/>
  <c r="H16" i="17"/>
  <c r="H14" i="17"/>
  <c r="N32" i="17"/>
  <c r="T25" i="17"/>
  <c r="T27" i="17"/>
  <c r="T29" i="17"/>
  <c r="Z76" i="17"/>
  <c r="V15" i="17"/>
  <c r="Y18" i="17"/>
  <c r="Y25" i="17"/>
  <c r="Y27" i="17"/>
  <c r="Y29" i="17"/>
  <c r="T31" i="17"/>
  <c r="Y70" i="17"/>
  <c r="Z71" i="17"/>
  <c r="Z83" i="17"/>
  <c r="Y90" i="17"/>
  <c r="W55" i="17"/>
  <c r="Z57" i="17"/>
  <c r="K45" i="17"/>
  <c r="K41" i="17"/>
  <c r="K37" i="17"/>
  <c r="K33" i="17"/>
  <c r="N29" i="17"/>
  <c r="N25" i="17"/>
  <c r="N35" i="17"/>
  <c r="N39" i="17"/>
  <c r="N43" i="17"/>
  <c r="T18" i="17"/>
  <c r="T12" i="17"/>
  <c r="T9" i="17"/>
  <c r="T5" i="17"/>
  <c r="T8" i="17"/>
  <c r="Q18" i="17"/>
  <c r="Q14" i="17"/>
  <c r="F10" i="13"/>
  <c r="F11" i="13"/>
  <c r="K8" i="17"/>
  <c r="K9" i="17"/>
  <c r="K10" i="17"/>
  <c r="K18" i="17"/>
  <c r="K14" i="17"/>
  <c r="Y92" i="17"/>
  <c r="Z92" i="17"/>
  <c r="K7" i="17"/>
  <c r="K15" i="17"/>
  <c r="P50" i="17"/>
  <c r="P94" i="17"/>
  <c r="M94" i="17"/>
  <c r="Z94" i="17"/>
  <c r="T15" i="17"/>
  <c r="Q17" i="17"/>
  <c r="Q8" i="17"/>
  <c r="Q5" i="17"/>
  <c r="Q9" i="17"/>
  <c r="Q12" i="17"/>
  <c r="Q15" i="17"/>
  <c r="N46" i="17"/>
  <c r="N42" i="17"/>
  <c r="N38" i="17"/>
  <c r="N34" i="17"/>
  <c r="N28" i="17"/>
  <c r="K32" i="17"/>
  <c r="K36" i="17"/>
  <c r="K40" i="17"/>
  <c r="K44" i="17"/>
  <c r="T32" i="17"/>
  <c r="T34" i="17"/>
  <c r="T36" i="17"/>
  <c r="T38" i="17"/>
  <c r="T40" i="17"/>
  <c r="T42" i="17"/>
  <c r="T44" i="17"/>
  <c r="T46" i="17"/>
  <c r="Y83" i="17"/>
  <c r="W57" i="17"/>
  <c r="Y89" i="17"/>
  <c r="V82" i="17"/>
  <c r="Z31" i="17"/>
  <c r="Y30" i="17"/>
  <c r="Y28" i="17"/>
  <c r="Y26" i="17"/>
  <c r="Y24" i="17"/>
  <c r="E18" i="17"/>
  <c r="N24" i="17"/>
  <c r="K31" i="17"/>
  <c r="K29" i="17"/>
  <c r="K27" i="17"/>
  <c r="K25" i="17"/>
  <c r="Y31" i="17"/>
  <c r="E5" i="17"/>
  <c r="E7" i="17"/>
  <c r="E9" i="17"/>
  <c r="E11" i="17"/>
  <c r="E13" i="17"/>
  <c r="Y5" i="17"/>
  <c r="Y9" i="17"/>
  <c r="E15" i="17"/>
  <c r="V57" i="17"/>
  <c r="V59" i="17"/>
  <c r="V61" i="17"/>
  <c r="V63" i="17"/>
  <c r="V89" i="17"/>
  <c r="V90" i="17"/>
  <c r="W85" i="17"/>
  <c r="E20" i="17"/>
  <c r="Z85" i="17"/>
  <c r="Y94" i="17"/>
  <c r="B17" i="14"/>
  <c r="B18" i="14"/>
  <c r="D69" i="13"/>
  <c r="D27" i="13"/>
  <c r="D70" i="13"/>
  <c r="D51" i="13"/>
  <c r="B10" i="13"/>
  <c r="D10" i="13"/>
  <c r="D7" i="13"/>
  <c r="D52" i="13"/>
  <c r="J50" i="17"/>
  <c r="K5" i="17"/>
  <c r="K11" i="17"/>
  <c r="K17" i="17"/>
  <c r="K13" i="17"/>
  <c r="B11" i="13"/>
  <c r="D11" i="13"/>
  <c r="D8" i="13"/>
  <c r="V76" i="17"/>
  <c r="N27" i="17"/>
  <c r="N26" i="17"/>
  <c r="N30" i="17"/>
  <c r="Y48" i="17"/>
  <c r="V85" i="17"/>
  <c r="J94" i="17"/>
  <c r="V62" i="17"/>
  <c r="V60" i="17"/>
  <c r="V58" i="17"/>
  <c r="Y7" i="17"/>
  <c r="K26" i="17"/>
  <c r="K48" i="17"/>
  <c r="K28" i="17"/>
  <c r="K30" i="17"/>
  <c r="Z15" i="17"/>
  <c r="Z73" i="17"/>
  <c r="Y54" i="17"/>
  <c r="W58" i="17"/>
  <c r="T45" i="17"/>
  <c r="T43" i="17"/>
  <c r="T41" i="17"/>
  <c r="T39" i="17"/>
  <c r="T37" i="17"/>
  <c r="T35" i="17"/>
  <c r="T33" i="17"/>
  <c r="N36" i="17"/>
  <c r="N40" i="17"/>
  <c r="N44" i="17"/>
  <c r="W76" i="17"/>
  <c r="M20" i="17"/>
  <c r="N6" i="17"/>
  <c r="Q7" i="17"/>
  <c r="Q10" i="17"/>
  <c r="Q6" i="17"/>
  <c r="M66" i="17"/>
  <c r="K6" i="17"/>
  <c r="Q16" i="17"/>
  <c r="T6" i="17"/>
  <c r="T20" i="17"/>
  <c r="T10" i="17"/>
  <c r="T7" i="17"/>
  <c r="T11" i="17"/>
  <c r="N45" i="17"/>
  <c r="N41" i="17"/>
  <c r="N37" i="17"/>
  <c r="N33" i="17"/>
  <c r="N31" i="17"/>
  <c r="N48" i="17"/>
  <c r="Z48" i="17"/>
  <c r="Z58" i="17"/>
  <c r="Z74" i="17"/>
  <c r="S20" i="17"/>
  <c r="Y14" i="17"/>
  <c r="T30" i="17"/>
  <c r="T28" i="17"/>
  <c r="T26" i="17"/>
  <c r="T24" i="17"/>
  <c r="T48" i="17"/>
  <c r="S48" i="17"/>
  <c r="H15" i="17"/>
  <c r="H17" i="17"/>
  <c r="W18" i="17"/>
  <c r="V14" i="17"/>
  <c r="Q46" i="17"/>
  <c r="Q44" i="17"/>
  <c r="Q42" i="17"/>
  <c r="Q40" i="17"/>
  <c r="Q38" i="17"/>
  <c r="Q36" i="17"/>
  <c r="Q34" i="17"/>
  <c r="Q32" i="17"/>
  <c r="Q30" i="17"/>
  <c r="Q28" i="17"/>
  <c r="Q26" i="17"/>
  <c r="Q48" i="17"/>
  <c r="D50" i="17"/>
  <c r="W15" i="17"/>
  <c r="Y6" i="17"/>
  <c r="H7" i="17"/>
  <c r="H8" i="17"/>
  <c r="H11" i="17"/>
  <c r="H13" i="17"/>
  <c r="H20" i="17"/>
  <c r="Y10" i="17"/>
  <c r="Y12" i="17"/>
  <c r="E25" i="17"/>
  <c r="E26" i="17"/>
  <c r="E27" i="17"/>
  <c r="E28" i="17"/>
  <c r="E29" i="17"/>
  <c r="E30" i="17"/>
  <c r="E48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8" i="17"/>
  <c r="Y32" i="17"/>
  <c r="Y33" i="17"/>
  <c r="Y34" i="17"/>
  <c r="Y35" i="17"/>
  <c r="Y36" i="17"/>
  <c r="Y37" i="17"/>
  <c r="Y40" i="17"/>
  <c r="Y41" i="17"/>
  <c r="Y42" i="17"/>
  <c r="Y43" i="17"/>
  <c r="Y44" i="17"/>
  <c r="Y45" i="17"/>
  <c r="Y46" i="17"/>
  <c r="W48" i="17"/>
  <c r="V48" i="17"/>
  <c r="W20" i="17"/>
  <c r="S50" i="17"/>
  <c r="V20" i="17"/>
  <c r="Q20" i="17"/>
  <c r="K20" i="17"/>
  <c r="W66" i="17"/>
  <c r="Z66" i="17"/>
  <c r="M78" i="17"/>
  <c r="V66" i="17"/>
  <c r="Y66" i="17"/>
  <c r="N5" i="17"/>
  <c r="N17" i="17"/>
  <c r="M50" i="17"/>
  <c r="Y20" i="17"/>
  <c r="N8" i="17"/>
  <c r="N11" i="17"/>
  <c r="N16" i="17"/>
  <c r="N15" i="17"/>
  <c r="N10" i="17"/>
  <c r="N18" i="17"/>
  <c r="N9" i="17"/>
  <c r="W94" i="17"/>
  <c r="V94" i="17"/>
  <c r="N14" i="17"/>
  <c r="N12" i="17"/>
  <c r="Z20" i="17"/>
  <c r="N7" i="17"/>
  <c r="Z50" i="17"/>
  <c r="Y50" i="17"/>
  <c r="N20" i="17"/>
  <c r="V78" i="17"/>
  <c r="W78" i="17"/>
  <c r="Y78" i="17"/>
  <c r="Z78" i="17"/>
  <c r="V50" i="17"/>
  <c r="W50" i="17"/>
</calcChain>
</file>

<file path=xl/sharedStrings.xml><?xml version="1.0" encoding="utf-8"?>
<sst xmlns="http://schemas.openxmlformats.org/spreadsheetml/2006/main" count="286" uniqueCount="249">
  <si>
    <t>CHURCH</t>
  </si>
  <si>
    <t>SUNDAY &amp; HOLY DAY COLLECTIONS</t>
  </si>
  <si>
    <t>CHRISTMAS COLLECTION</t>
  </si>
  <si>
    <t>EASTER COLLECTION</t>
  </si>
  <si>
    <t>TUITION</t>
  </si>
  <si>
    <t>FEES</t>
  </si>
  <si>
    <t>BOOKSTORE INCOME</t>
  </si>
  <si>
    <t>BINGO INCOME</t>
  </si>
  <si>
    <t>AUXILIARY GROUPS</t>
  </si>
  <si>
    <t>TOTAL OPERATING REVENUE</t>
  </si>
  <si>
    <t>ORDINARY OPERATING EXPENSES:</t>
  </si>
  <si>
    <t>ADMINISTRATIVE EXPENSES</t>
  </si>
  <si>
    <t>TRANSPORTATION</t>
  </si>
  <si>
    <t>MAINTENANCE &amp; BUILDING REPAIRS</t>
  </si>
  <si>
    <t>INTEREST EXPENSE</t>
  </si>
  <si>
    <t>ALTAR &amp; LITURGICAL SUPPLIES</t>
  </si>
  <si>
    <t>FURNISHINGS/EQUIPMENT</t>
  </si>
  <si>
    <t>ARCHDIOCESAN ASSESSMENT</t>
  </si>
  <si>
    <t>PRMAA ASSESSMENT</t>
  </si>
  <si>
    <t xml:space="preserve"> </t>
  </si>
  <si>
    <t>TOTAL OPERATING EXPENSES</t>
  </si>
  <si>
    <t xml:space="preserve">OTHER COLLECTIONS </t>
  </si>
  <si>
    <t>LEASE AND/OR RENTAL INCOME</t>
  </si>
  <si>
    <t>FUND RAISING NET INCOME</t>
  </si>
  <si>
    <t>INTEREST &amp; INVESTMENT INCOME</t>
  </si>
  <si>
    <t xml:space="preserve">MISCELLANEOUS INCOME </t>
  </si>
  <si>
    <t>SALARIES (FROM SCHEDULE A-2)</t>
  </si>
  <si>
    <t>HEALTH INSURANCE  EMPLOYER PAID (FROM SCHEDULE A-2)</t>
  </si>
  <si>
    <t>EMPLOYER FICA (FROM SCHEDULE A-2)</t>
  </si>
  <si>
    <t>FRINGE BENEFITS (FROM SCHEDULE A-2)</t>
  </si>
  <si>
    <t>PROFESSIONAL GROWTH/ MINISTERIAL/ OTHER (SCHD. A-2)</t>
  </si>
  <si>
    <t>BOOKS &amp; SUPPLIES, NON LITURGICAL</t>
  </si>
  <si>
    <t>FOOD SERVICES &amp; MEALS</t>
  </si>
  <si>
    <t>TELEPHONE</t>
  </si>
  <si>
    <t>HEATING FUEL</t>
  </si>
  <si>
    <t>ELECTRICITY</t>
  </si>
  <si>
    <t>OTHER UTILITIES</t>
  </si>
  <si>
    <t>BINGO EXPENSES</t>
  </si>
  <si>
    <t xml:space="preserve">PROPERTY/CASUALTY INSURANCE </t>
  </si>
  <si>
    <t>AUTO INSURANCE PRIEST OWNED VEHICLE</t>
  </si>
  <si>
    <t>MISCELLANEOUS</t>
  </si>
  <si>
    <t xml:space="preserve"> OUTSIDE FUNDING SOURCES</t>
  </si>
  <si>
    <t>NET CAPITAL PROFIT</t>
  </si>
  <si>
    <t>TOTAL CAPITAL REVENUE</t>
  </si>
  <si>
    <t>CAPITAL IMPROVEMENTS</t>
  </si>
  <si>
    <t>CAPITAL PURCHASE OR CONSTRUCTION</t>
  </si>
  <si>
    <t>CAPITAL EXPENDITURES</t>
  </si>
  <si>
    <t>CAPITAL COLLECTIONS</t>
  </si>
  <si>
    <t>SALE OF PROPERTY</t>
  </si>
  <si>
    <t>CAPITAL REVENUES</t>
  </si>
  <si>
    <t>NET EXTRAORDINARY OPERATING ACTIVITY</t>
  </si>
  <si>
    <t>TOTAL EXTRAORDINARY OPERATING EXPENSE</t>
  </si>
  <si>
    <t>OTHER EXTRAORDINARY EXPENSES</t>
  </si>
  <si>
    <t>PAYMENT OF ARCH. REQUIRED COLLECTIONS</t>
  </si>
  <si>
    <t xml:space="preserve">SHARING FROM PARISH GENERAL FUNDS </t>
  </si>
  <si>
    <t>SHARING COLL. PAID TO OTHER PARISHES</t>
  </si>
  <si>
    <t>EXPENSES COVERED BY INSURANCE</t>
  </si>
  <si>
    <t>EXTRAORDINARY OPERATING EXPENSES:</t>
  </si>
  <si>
    <t>TOTAL EXTRAORDINARY OPERATING REVENUE</t>
  </si>
  <si>
    <t>OTHER EXTRAORDINARY INCOME</t>
  </si>
  <si>
    <t>ANNUAL APPEAL REBATE</t>
  </si>
  <si>
    <t>PARISH EDUCATIONAL ENDOWMENT FUND</t>
  </si>
  <si>
    <t>PARISH  ENDOWMENT FUND COLLECTION</t>
  </si>
  <si>
    <t>CHURCH MILLENNIUM CAMPAIGN FUNDS</t>
  </si>
  <si>
    <t>ESTATES, BEQUESTS AND MEMORIALS</t>
  </si>
  <si>
    <t>ARCHDIOCESAN REQUIRED COLLECTIONS</t>
  </si>
  <si>
    <t>SHARING MONEY REC'D FROM OTHER PARISHES</t>
  </si>
  <si>
    <t>SHARING COLLECTION FOR OTHER PARISHES</t>
  </si>
  <si>
    <t>INSURANCE RECOVERIES</t>
  </si>
  <si>
    <t>EXTRAORDINARY OPERATING REVENUE:</t>
  </si>
  <si>
    <t>NET OPERATING PROFIT</t>
  </si>
  <si>
    <t>ORDINARY OPERATING REVENUE</t>
  </si>
  <si>
    <t>%</t>
  </si>
  <si>
    <t>2008A</t>
  </si>
  <si>
    <t>2007A</t>
  </si>
  <si>
    <t>2009A</t>
  </si>
  <si>
    <t>FUND COLLECTIONS</t>
  </si>
  <si>
    <t>ASSUMPTIONS</t>
  </si>
  <si>
    <t>NOTES</t>
  </si>
  <si>
    <t>INCOME STATEMENT</t>
  </si>
  <si>
    <t>ITEM</t>
  </si>
  <si>
    <t>PRIORITY</t>
  </si>
  <si>
    <t>CHURCH SUBTOTAL</t>
  </si>
  <si>
    <t>RECTORY</t>
  </si>
  <si>
    <t>RECTORY SUBTOTAL</t>
  </si>
  <si>
    <t>PARISH CENTER</t>
  </si>
  <si>
    <t>PARISH CENTER SUBTOTAL</t>
  </si>
  <si>
    <t>STATUS</t>
  </si>
  <si>
    <t>Complete</t>
  </si>
  <si>
    <t>PARISH</t>
  </si>
  <si>
    <t>Develop Master Plan</t>
  </si>
  <si>
    <t>PARISH SUBTOTAL</t>
  </si>
  <si>
    <t>REC</t>
  </si>
  <si>
    <t>Install roof top units to air condition REC</t>
  </si>
  <si>
    <t>REC SUBTOTAL</t>
  </si>
  <si>
    <t>Remove Old School from Fire Alarm Sys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</si>
  <si>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</si>
  <si>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</si>
  <si>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</si>
  <si>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</si>
  <si>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</si>
  <si>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</si>
  <si>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2011E</t>
  </si>
  <si>
    <t>2011/2010 Differential</t>
  </si>
  <si>
    <t>2011/2010 Growth</t>
  </si>
  <si>
    <t>Ordinary Income/Expense</t>
  </si>
  <si>
    <t>Income</t>
  </si>
  <si>
    <t>3000 · SUNDAY AND HOLY DAY COLLECTIONS</t>
  </si>
  <si>
    <t>3020 · CHRISTMAS COLLECTION</t>
  </si>
  <si>
    <t>3030 · EASTER COLLECTION</t>
  </si>
  <si>
    <t>3040 · OTHER COLLECTIONS</t>
  </si>
  <si>
    <t>3100 · TUITION</t>
  </si>
  <si>
    <t>3350 · LEASE AND/OR RENTAL INCOME</t>
  </si>
  <si>
    <t>3450 · FUND RAISING NET INCOME</t>
  </si>
  <si>
    <t>3500 · INTEREST &amp; INVESTMENT INCOME</t>
  </si>
  <si>
    <t>3700 · MISCELLANEOUS INCOME</t>
  </si>
  <si>
    <t>Total Income</t>
  </si>
  <si>
    <t>Expense</t>
  </si>
  <si>
    <t>4010 · SALARIES</t>
  </si>
  <si>
    <t>4030 · HEALTH INSURANCE-EMPLOYER PAID</t>
  </si>
  <si>
    <t>4040 · EMPLOYER FICA</t>
  </si>
  <si>
    <t>4050 · FRINGE BENEFITS</t>
  </si>
  <si>
    <t>4060 · PROF. GROWTH/MINIST./OTHER</t>
  </si>
  <si>
    <t>4100 · BOOKS &amp; SUPPLIES,NON-LITURGICAL</t>
  </si>
  <si>
    <t>4150 · ADMINISTRATIVE EXPENSES</t>
  </si>
  <si>
    <t>4200 · TRANSPORTATION</t>
  </si>
  <si>
    <t>4250 · FOOD SERVICE &amp; MEALS</t>
  </si>
  <si>
    <t>4400 · TELEPHONE</t>
  </si>
  <si>
    <t>4410 · HEATING FUEL</t>
  </si>
  <si>
    <t>4420 · ELECTRICITY</t>
  </si>
  <si>
    <t>4430 · OTHER UTILITIES</t>
  </si>
  <si>
    <t>4450 · MAINTENANCE &amp; BUILDING REPAIRS</t>
  </si>
  <si>
    <t>4600 · INTEREST EXPENSE</t>
  </si>
  <si>
    <t>4650 · ALTAR &amp; LITURGICAL SUPPLIES</t>
  </si>
  <si>
    <t>4700 · FURNISHINGS &amp; EQUIPMENT</t>
  </si>
  <si>
    <t>4750 · ARCHDIOCESAN ASSESSMENT</t>
  </si>
  <si>
    <t>4760 · PRMAA ASSESSMENT</t>
  </si>
  <si>
    <t>4780 · PROPERTY/CASUALTY INSURANCE</t>
  </si>
  <si>
    <t>4790 · AUTO INSUR-PRIEST OWNED VEHICLE</t>
  </si>
  <si>
    <t>4800 · MISCELLANEOUS</t>
  </si>
  <si>
    <t>Total Expense</t>
  </si>
  <si>
    <t>Net Ordinary Income</t>
  </si>
  <si>
    <t>Other Income/Expense</t>
  </si>
  <si>
    <t>Other Income</t>
  </si>
  <si>
    <t>5010 · SHARING COLLECTIONS OTH PARISH</t>
  </si>
  <si>
    <t>5030 · ARCH REQUIRED COLLECTIONS</t>
  </si>
  <si>
    <t>5050 · ESTATES, BEQUESTS &amp; MEMORIALS</t>
  </si>
  <si>
    <t>5060 · OTHER EXTRAORDINARY INCOME</t>
  </si>
  <si>
    <t>5100 · SALE OF PROPERTY</t>
  </si>
  <si>
    <t>5120 · CAPITAL COLLECTIONS</t>
  </si>
  <si>
    <t>Total Other Income</t>
  </si>
  <si>
    <t>Other Expense</t>
  </si>
  <si>
    <t>6010 · SHARE COLLECT PAY TO OTH PARISH</t>
  </si>
  <si>
    <t>6030 · PYMT ARCH REQUIRED COLLECTIONS</t>
  </si>
  <si>
    <t>6100 · CAPITAL PURCHASE OR CONSTRUCT</t>
  </si>
  <si>
    <t>6110 · CAPITAL IMPROVEMENTS</t>
  </si>
  <si>
    <t>Total Other Expense</t>
  </si>
  <si>
    <t>Net Other Income</t>
  </si>
  <si>
    <t>Net Income</t>
  </si>
  <si>
    <t>ASSETS</t>
  </si>
  <si>
    <t>Current Assets</t>
  </si>
  <si>
    <t>Checking/Savings</t>
  </si>
  <si>
    <t>1100 · CASH</t>
  </si>
  <si>
    <t>1200 · OPER. SAVINGS AT THE ARCH BANK</t>
  </si>
  <si>
    <t>1300 · LONG-TERM/RESTRICTED SAVINGS</t>
  </si>
  <si>
    <t>Total Checking/Savings</t>
  </si>
  <si>
    <t>Accounts Receivable</t>
  </si>
  <si>
    <t>1500 · RECEIVABLES</t>
  </si>
  <si>
    <t>Total Accounts Receivable</t>
  </si>
  <si>
    <t>Other Current Assets</t>
  </si>
  <si>
    <t>1499 · Undeposited Funds</t>
  </si>
  <si>
    <t>1600 · OTHER CURRENT ASSETS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</si>
  <si>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</si>
  <si>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</si>
  <si>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</si>
  <si>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</si>
  <si>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</si>
  <si>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</si>
  <si>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</si>
  <si>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</si>
  <si>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</si>
  <si>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</si>
  <si>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2200 · OTHER PAYROLL WITHHOLDINGS</t>
  </si>
  <si>
    <t>2500 · OTHER CURRENT LIABILITIES</t>
  </si>
  <si>
    <t>Total Other Current Liabilities</t>
  </si>
  <si>
    <t>Total Current Liabilities</t>
  </si>
  <si>
    <t>Total Liabilities</t>
  </si>
  <si>
    <t>Equity</t>
  </si>
  <si>
    <t>2700 · EQUITY</t>
  </si>
  <si>
    <t>3900 · RETAINED EARNINGS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</si>
  <si>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</si>
  <si>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</si>
  <si>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</si>
  <si>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</si>
  <si>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</si>
  <si>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Net cash provided by Operating Activities</t>
  </si>
  <si>
    <t>FINANCING ACTIVITIES</t>
  </si>
  <si>
    <t>Net cash increase for period</t>
  </si>
  <si>
    <t>Cash at beginning of period</t>
  </si>
  <si>
    <t>Cash at end of period</t>
  </si>
  <si>
    <t>DATE OF REPORT</t>
  </si>
  <si>
    <t>% Δ</t>
  </si>
  <si>
    <t>BALANCE SHEET</t>
  </si>
  <si>
    <t>Replace Rectory Windows</t>
  </si>
  <si>
    <t>Replace Rectory Boiler</t>
  </si>
  <si>
    <t>Replace Rectory Carpeting (hallways and stairs)</t>
  </si>
  <si>
    <t>Repair Rectory Tuckpointing</t>
  </si>
  <si>
    <t>Install A/V System in Parish Center</t>
  </si>
  <si>
    <t xml:space="preserve">Replace carpeting w/ tiling </t>
  </si>
  <si>
    <t>2010-2011</t>
  </si>
  <si>
    <t>COMPLETED PROJECTS</t>
  </si>
  <si>
    <t>COST</t>
  </si>
  <si>
    <t>1501 · Parish Receivables</t>
  </si>
  <si>
    <t>2400 · PREPAID TUITION &amp; FEES</t>
  </si>
  <si>
    <t>2010E</t>
  </si>
  <si>
    <t>2012E</t>
  </si>
  <si>
    <t>2012/2011 Differential</t>
  </si>
  <si>
    <t>2012/2011 Growth</t>
  </si>
  <si>
    <t>6020 · SHARING FROM GNRL PARISH FUNDS</t>
  </si>
  <si>
    <t>3110 · FEES</t>
  </si>
  <si>
    <t>2400  PREPAID TUITION AND FEES</t>
  </si>
  <si>
    <t>STATEMENT OF CASH FLOWS</t>
  </si>
  <si>
    <t>FY 2012 YTD</t>
  </si>
  <si>
    <t>Jul 1, '11 - June 30, 12</t>
  </si>
  <si>
    <t>Jul 1, '10- June 30, 11</t>
  </si>
  <si>
    <t>In Progress</t>
  </si>
  <si>
    <t>2012+</t>
  </si>
  <si>
    <t>Oil Tank Removal</t>
  </si>
  <si>
    <t>First Floor Kitchen</t>
  </si>
  <si>
    <t>West Wall Mural</t>
  </si>
  <si>
    <t>Rectory A/C</t>
  </si>
  <si>
    <t>Gutter and Facia work</t>
  </si>
  <si>
    <t>OLD SCHOOL BUILDING &amp; AVILA PLACE</t>
  </si>
  <si>
    <r>
      <t>Demolish Old School</t>
    </r>
    <r>
      <rPr>
        <sz val="10"/>
        <rFont val="Arial"/>
      </rPr>
      <t xml:space="preserve"> &amp; Avila Place</t>
    </r>
  </si>
  <si>
    <t>Includes asbestos removal</t>
  </si>
  <si>
    <t>Repair Rectory Plumbing Infrastructure and bathrooms</t>
  </si>
  <si>
    <t>Asbestos Removed from Basement</t>
  </si>
  <si>
    <t>Move Parish Office &amp; Install Door to REC</t>
  </si>
  <si>
    <t>Parish Computer System Upgrade</t>
  </si>
  <si>
    <t>Parish Sound System</t>
  </si>
  <si>
    <t>6060 · OTHER EXTRAORDINARY EXPENSES</t>
  </si>
  <si>
    <t>FY 2013 YTD</t>
  </si>
  <si>
    <t>FY 2013 BUDGET</t>
  </si>
  <si>
    <t>FY 2012 ACTUALS</t>
  </si>
  <si>
    <t>Only the door installation is left.</t>
  </si>
  <si>
    <t>Jul 1, '12 - Aug 31, 2012</t>
  </si>
  <si>
    <t>Jul 1, '11 - Aug 31, 2011</t>
  </si>
  <si>
    <t>Aug 31, '12</t>
  </si>
  <si>
    <t>Jul 1, '12 - Aug 31, '12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</si>
</sst>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* #,##0_);_(* \(#,##0\);_(* \-_);_(@_)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9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2" fillId="0" borderId="0"/>
    <xf numFmtId="1" fontId="9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96">
    <xf numFmtId="0" fontId="0" fillId="0" borderId="0" xfId="0"/>
    <xf numFmtId="164" fontId="3" fillId="0" borderId="0" xfId="0" applyNumberFormat="1" applyFont="1" applyAlignment="1" applyProtection="1">
      <alignment horizontal="center"/>
    </xf>
    <xf numFmtId="0" fontId="3" fillId="0" borderId="0" xfId="6" applyFont="1"/>
    <xf numFmtId="0" fontId="3" fillId="0" borderId="0" xfId="6" applyFont="1" applyBorder="1"/>
    <xf numFmtId="0" fontId="4" fillId="0" borderId="0" xfId="6" applyFont="1" applyAlignment="1" applyProtection="1">
      <alignment horizontal="left"/>
    </xf>
    <xf numFmtId="44" fontId="3" fillId="0" borderId="0" xfId="3" applyFont="1" applyBorder="1"/>
    <xf numFmtId="0" fontId="3" fillId="2" borderId="1" xfId="6" applyFont="1" applyFill="1" applyBorder="1"/>
    <xf numFmtId="44" fontId="3" fillId="2" borderId="1" xfId="3" applyFont="1" applyFill="1" applyBorder="1" applyAlignment="1" applyProtection="1">
      <alignment horizontal="center"/>
    </xf>
    <xf numFmtId="0" fontId="3" fillId="2" borderId="1" xfId="6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left"/>
    </xf>
    <xf numFmtId="44" fontId="3" fillId="0" borderId="0" xfId="3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 applyProtection="1">
      <alignment horizontal="left"/>
    </xf>
    <xf numFmtId="0" fontId="3" fillId="0" borderId="0" xfId="6" applyFont="1" applyAlignment="1">
      <alignment horizontal="center"/>
    </xf>
    <xf numFmtId="0" fontId="4" fillId="0" borderId="0" xfId="6" applyFont="1"/>
    <xf numFmtId="0" fontId="3" fillId="0" borderId="0" xfId="6" applyFont="1" applyAlignment="1" applyProtection="1">
      <alignment horizontal="center"/>
    </xf>
    <xf numFmtId="44" fontId="3" fillId="0" borderId="0" xfId="3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left"/>
    </xf>
    <xf numFmtId="0" fontId="4" fillId="0" borderId="0" xfId="6" applyFont="1" applyBorder="1" applyAlignment="1" applyProtection="1">
      <alignment horizontal="left"/>
    </xf>
    <xf numFmtId="0" fontId="4" fillId="2" borderId="1" xfId="6" applyFont="1" applyFill="1" applyBorder="1"/>
    <xf numFmtId="44" fontId="4" fillId="2" borderId="1" xfId="3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center"/>
    </xf>
    <xf numFmtId="0" fontId="5" fillId="0" borderId="0" xfId="6" applyFont="1" applyBorder="1" applyAlignment="1" applyProtection="1">
      <alignment horizontal="left"/>
    </xf>
    <xf numFmtId="0" fontId="6" fillId="0" borderId="0" xfId="6" applyFont="1" applyFill="1"/>
    <xf numFmtId="0" fontId="3" fillId="0" borderId="0" xfId="6" applyFont="1" applyFill="1"/>
    <xf numFmtId="0" fontId="3" fillId="0" borderId="0" xfId="6" applyFont="1" applyFill="1" applyBorder="1"/>
    <xf numFmtId="0" fontId="3" fillId="0" borderId="0" xfId="6" applyFont="1" applyFill="1" applyAlignment="1" applyProtection="1">
      <alignment horizontal="center"/>
    </xf>
    <xf numFmtId="0" fontId="3" fillId="0" borderId="0" xfId="6" applyFont="1" applyFill="1" applyAlignment="1" applyProtection="1">
      <alignment horizontal="left"/>
    </xf>
    <xf numFmtId="166" fontId="3" fillId="0" borderId="0" xfId="3" applyNumberFormat="1" applyFont="1" applyFill="1" applyBorder="1"/>
    <xf numFmtId="9" fontId="3" fillId="0" borderId="0" xfId="9" applyNumberFormat="1" applyFont="1" applyFill="1" applyBorder="1"/>
    <xf numFmtId="0" fontId="6" fillId="0" borderId="0" xfId="6" applyFont="1" applyFill="1" applyBorder="1"/>
    <xf numFmtId="166" fontId="7" fillId="0" borderId="0" xfId="3" applyNumberFormat="1" applyFont="1" applyFill="1" applyBorder="1" applyAlignment="1">
      <alignment horizontal="center"/>
    </xf>
    <xf numFmtId="44" fontId="7" fillId="0" borderId="0" xfId="3" applyFont="1" applyFill="1" applyBorder="1" applyAlignment="1">
      <alignment horizontal="center"/>
    </xf>
    <xf numFmtId="9" fontId="6" fillId="0" borderId="0" xfId="9" applyNumberFormat="1" applyFont="1" applyFill="1" applyBorder="1"/>
    <xf numFmtId="166" fontId="3" fillId="0" borderId="0" xfId="3" applyNumberFormat="1" applyFont="1" applyBorder="1"/>
    <xf numFmtId="9" fontId="3" fillId="0" borderId="0" xfId="9" applyNumberFormat="1" applyFont="1" applyBorder="1"/>
    <xf numFmtId="166" fontId="3" fillId="0" borderId="0" xfId="3" applyNumberFormat="1" applyFont="1" applyBorder="1" applyAlignment="1">
      <alignment horizontal="center"/>
    </xf>
    <xf numFmtId="166" fontId="4" fillId="2" borderId="1" xfId="3" applyNumberFormat="1" applyFont="1" applyFill="1" applyBorder="1" applyAlignment="1" applyProtection="1">
      <alignment horizontal="center"/>
    </xf>
    <xf numFmtId="9" fontId="4" fillId="2" borderId="1" xfId="9" applyNumberFormat="1" applyFont="1" applyFill="1" applyBorder="1"/>
    <xf numFmtId="166" fontId="3" fillId="0" borderId="0" xfId="3" applyNumberFormat="1" applyFont="1" applyBorder="1" applyAlignment="1" applyProtection="1">
      <alignment horizontal="center"/>
    </xf>
    <xf numFmtId="9" fontId="3" fillId="0" borderId="0" xfId="1" applyNumberFormat="1" applyFont="1" applyBorder="1"/>
    <xf numFmtId="166" fontId="3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/>
    <xf numFmtId="9" fontId="3" fillId="2" borderId="1" xfId="1" applyNumberFormat="1" applyFont="1" applyFill="1" applyBorder="1"/>
    <xf numFmtId="0" fontId="4" fillId="3" borderId="2" xfId="6" applyFont="1" applyFill="1" applyBorder="1"/>
    <xf numFmtId="0" fontId="4" fillId="3" borderId="2" xfId="6" applyFont="1" applyFill="1" applyBorder="1" applyAlignment="1" applyProtection="1">
      <alignment horizontal="left"/>
    </xf>
    <xf numFmtId="0" fontId="4" fillId="3" borderId="2" xfId="6" applyFont="1" applyFill="1" applyBorder="1" applyAlignment="1" applyProtection="1">
      <alignment horizontal="center"/>
    </xf>
    <xf numFmtId="166" fontId="4" fillId="3" borderId="2" xfId="3" applyNumberFormat="1" applyFont="1" applyFill="1" applyBorder="1" applyAlignment="1" applyProtection="1">
      <alignment horizontal="center"/>
    </xf>
    <xf numFmtId="44" fontId="4" fillId="3" borderId="2" xfId="3" applyFont="1" applyFill="1" applyBorder="1" applyAlignment="1" applyProtection="1">
      <alignment horizontal="center"/>
    </xf>
    <xf numFmtId="166" fontId="4" fillId="3" borderId="2" xfId="3" applyNumberFormat="1" applyFont="1" applyFill="1" applyBorder="1"/>
    <xf numFmtId="9" fontId="4" fillId="3" borderId="2" xfId="1" applyNumberFormat="1" applyFont="1" applyFill="1" applyBorder="1"/>
    <xf numFmtId="0" fontId="3" fillId="3" borderId="2" xfId="6" applyFont="1" applyFill="1" applyBorder="1" applyAlignment="1">
      <alignment horizontal="center"/>
    </xf>
    <xf numFmtId="0" fontId="3" fillId="3" borderId="2" xfId="6" applyFont="1" applyFill="1" applyBorder="1"/>
    <xf numFmtId="166" fontId="3" fillId="3" borderId="2" xfId="3" applyNumberFormat="1" applyFont="1" applyFill="1" applyBorder="1"/>
    <xf numFmtId="44" fontId="3" fillId="3" borderId="2" xfId="3" applyFont="1" applyFill="1" applyBorder="1"/>
    <xf numFmtId="9" fontId="3" fillId="3" borderId="2" xfId="1" applyNumberFormat="1" applyFont="1" applyFill="1" applyBorder="1"/>
    <xf numFmtId="0" fontId="3" fillId="3" borderId="2" xfId="6" applyFont="1" applyFill="1" applyBorder="1" applyAlignment="1" applyProtection="1">
      <alignment horizontal="center"/>
    </xf>
    <xf numFmtId="44" fontId="3" fillId="3" borderId="2" xfId="3" applyFont="1" applyFill="1" applyBorder="1" applyAlignment="1" applyProtection="1">
      <alignment horizontal="center"/>
    </xf>
    <xf numFmtId="9" fontId="4" fillId="3" borderId="2" xfId="9" applyNumberFormat="1" applyFont="1" applyFill="1" applyBorder="1"/>
    <xf numFmtId="44" fontId="4" fillId="3" borderId="2" xfId="3" applyFont="1" applyFill="1" applyBorder="1"/>
    <xf numFmtId="0" fontId="3" fillId="4" borderId="0" xfId="6" applyFont="1" applyFill="1" applyBorder="1" applyAlignment="1">
      <alignment wrapText="1"/>
    </xf>
    <xf numFmtId="166" fontId="4" fillId="4" borderId="0" xfId="3" applyNumberFormat="1" applyFont="1" applyFill="1" applyBorder="1" applyAlignment="1">
      <alignment horizontal="center" wrapText="1"/>
    </xf>
    <xf numFmtId="44" fontId="4" fillId="4" borderId="0" xfId="3" applyFont="1" applyFill="1" applyBorder="1" applyAlignment="1">
      <alignment horizontal="center" wrapText="1"/>
    </xf>
    <xf numFmtId="9" fontId="4" fillId="4" borderId="0" xfId="9" applyNumberFormat="1" applyFont="1" applyFill="1" applyBorder="1" applyAlignment="1">
      <alignment horizontal="center" wrapText="1"/>
    </xf>
    <xf numFmtId="49" fontId="11" fillId="0" borderId="0" xfId="6" applyNumberFormat="1" applyFont="1" applyAlignment="1">
      <alignment horizontal="center"/>
    </xf>
    <xf numFmtId="49" fontId="11" fillId="0" borderId="3" xfId="6" applyNumberFormat="1" applyFont="1" applyBorder="1" applyAlignment="1">
      <alignment horizontal="center"/>
    </xf>
    <xf numFmtId="49" fontId="11" fillId="0" borderId="0" xfId="6" applyNumberFormat="1" applyFont="1"/>
    <xf numFmtId="39" fontId="12" fillId="0" borderId="0" xfId="6" applyNumberFormat="1" applyFont="1"/>
    <xf numFmtId="0" fontId="2" fillId="0" borderId="0" xfId="6"/>
    <xf numFmtId="0" fontId="11" fillId="0" borderId="0" xfId="6" applyFont="1"/>
    <xf numFmtId="0" fontId="11" fillId="0" borderId="0" xfId="6" applyNumberFormat="1" applyFont="1"/>
    <xf numFmtId="49" fontId="12" fillId="0" borderId="0" xfId="6" applyNumberFormat="1" applyFont="1"/>
    <xf numFmtId="0" fontId="14" fillId="5" borderId="0" xfId="6" applyFont="1" applyFill="1"/>
    <xf numFmtId="0" fontId="15" fillId="5" borderId="0" xfId="6" applyNumberFormat="1" applyFont="1" applyFill="1"/>
    <xf numFmtId="0" fontId="8" fillId="5" borderId="0" xfId="6" applyNumberFormat="1" applyFont="1" applyFill="1"/>
    <xf numFmtId="0" fontId="8" fillId="5" borderId="0" xfId="0" applyFont="1" applyFill="1"/>
    <xf numFmtId="0" fontId="8" fillId="5" borderId="0" xfId="6" applyFont="1" applyFill="1"/>
    <xf numFmtId="0" fontId="8" fillId="0" borderId="0" xfId="6" applyFont="1"/>
    <xf numFmtId="0" fontId="16" fillId="0" borderId="0" xfId="6" applyFont="1" applyFill="1" applyBorder="1"/>
    <xf numFmtId="14" fontId="8" fillId="0" borderId="0" xfId="1" applyNumberFormat="1" applyFont="1" applyFill="1" applyBorder="1"/>
    <xf numFmtId="0" fontId="8" fillId="0" borderId="0" xfId="6" applyNumberFormat="1" applyFont="1"/>
    <xf numFmtId="0" fontId="8" fillId="0" borderId="0" xfId="0" applyFont="1"/>
    <xf numFmtId="165" fontId="8" fillId="0" borderId="0" xfId="1" applyNumberFormat="1" applyFont="1" applyFill="1" applyBorder="1"/>
    <xf numFmtId="0" fontId="14" fillId="5" borderId="0" xfId="6" applyFont="1" applyFill="1" applyBorder="1"/>
    <xf numFmtId="0" fontId="14" fillId="5" borderId="0" xfId="6" applyNumberFormat="1" applyFont="1" applyFill="1" applyAlignment="1">
      <alignment horizontal="center"/>
    </xf>
    <xf numFmtId="166" fontId="16" fillId="0" borderId="0" xfId="3" applyNumberFormat="1" applyFont="1" applyFill="1" applyBorder="1"/>
    <xf numFmtId="9" fontId="16" fillId="0" borderId="0" xfId="9" applyFont="1" applyFill="1" applyBorder="1"/>
    <xf numFmtId="0" fontId="16" fillId="0" borderId="0" xfId="6" applyFont="1" applyAlignment="1" applyProtection="1">
      <alignment horizontal="center"/>
    </xf>
    <xf numFmtId="0" fontId="8" fillId="0" borderId="0" xfId="6" applyFont="1" applyFill="1" applyBorder="1"/>
    <xf numFmtId="0" fontId="8" fillId="0" borderId="0" xfId="6" applyFont="1" applyAlignment="1">
      <alignment horizontal="center"/>
    </xf>
    <xf numFmtId="166" fontId="8" fillId="0" borderId="0" xfId="3" applyNumberFormat="1" applyFont="1" applyFill="1" applyBorder="1"/>
    <xf numFmtId="9" fontId="8" fillId="0" borderId="0" xfId="9" applyFont="1" applyFill="1" applyBorder="1"/>
    <xf numFmtId="0" fontId="8" fillId="0" borderId="0" xfId="6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166" fontId="8" fillId="0" borderId="0" xfId="2" applyNumberFormat="1" applyFont="1" applyFill="1" applyBorder="1"/>
    <xf numFmtId="0" fontId="8" fillId="0" borderId="0" xfId="6" applyFont="1" applyAlignment="1" applyProtection="1">
      <alignment horizontal="center"/>
    </xf>
    <xf numFmtId="49" fontId="11" fillId="0" borderId="3" xfId="0" applyNumberFormat="1" applyFont="1" applyBorder="1" applyAlignment="1">
      <alignment horizontal="center"/>
    </xf>
    <xf numFmtId="39" fontId="12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9" fontId="4" fillId="4" borderId="0" xfId="10" applyNumberFormat="1" applyFont="1" applyFill="1" applyBorder="1" applyAlignment="1">
      <alignment horizontal="center" wrapText="1"/>
    </xf>
    <xf numFmtId="166" fontId="4" fillId="4" borderId="0" xfId="4" applyNumberFormat="1" applyFont="1" applyFill="1" applyBorder="1" applyAlignment="1">
      <alignment horizontal="center" wrapText="1"/>
    </xf>
    <xf numFmtId="166" fontId="13" fillId="5" borderId="0" xfId="4" applyNumberFormat="1" applyFont="1" applyFill="1" applyBorder="1" applyAlignment="1">
      <alignment horizontal="center" wrapText="1"/>
    </xf>
    <xf numFmtId="167" fontId="13" fillId="5" borderId="0" xfId="10" applyNumberFormat="1" applyFont="1" applyFill="1" applyBorder="1" applyAlignment="1">
      <alignment horizontal="center" wrapText="1"/>
    </xf>
    <xf numFmtId="9" fontId="7" fillId="0" borderId="0" xfId="10" applyNumberFormat="1" applyFont="1" applyFill="1" applyBorder="1" applyAlignment="1">
      <alignment horizontal="center"/>
    </xf>
    <xf numFmtId="166" fontId="7" fillId="0" borderId="0" xfId="4" applyNumberFormat="1" applyFont="1" applyFill="1" applyBorder="1" applyAlignment="1">
      <alignment horizontal="center"/>
    </xf>
    <xf numFmtId="166" fontId="6" fillId="0" borderId="0" xfId="4" applyNumberFormat="1" applyFont="1" applyFill="1" applyBorder="1"/>
    <xf numFmtId="167" fontId="6" fillId="0" borderId="0" xfId="10" applyNumberFormat="1" applyFont="1" applyFill="1" applyBorder="1"/>
    <xf numFmtId="9" fontId="3" fillId="0" borderId="0" xfId="10" applyNumberFormat="1" applyFont="1" applyBorder="1"/>
    <xf numFmtId="166" fontId="3" fillId="0" borderId="0" xfId="4" applyNumberFormat="1" applyFont="1" applyBorder="1"/>
    <xf numFmtId="167" fontId="3" fillId="0" borderId="0" xfId="10" applyNumberFormat="1" applyFont="1" applyBorder="1"/>
    <xf numFmtId="9" fontId="4" fillId="3" borderId="2" xfId="10" applyNumberFormat="1" applyFont="1" applyFill="1" applyBorder="1"/>
    <xf numFmtId="166" fontId="4" fillId="3" borderId="2" xfId="4" applyNumberFormat="1" applyFont="1" applyFill="1" applyBorder="1"/>
    <xf numFmtId="167" fontId="4" fillId="3" borderId="2" xfId="10" applyNumberFormat="1" applyFont="1" applyFill="1" applyBorder="1"/>
    <xf numFmtId="9" fontId="3" fillId="0" borderId="0" xfId="10" applyNumberFormat="1" applyFont="1" applyFill="1" applyBorder="1"/>
    <xf numFmtId="166" fontId="3" fillId="0" borderId="0" xfId="4" applyNumberFormat="1" applyFont="1" applyFill="1" applyBorder="1"/>
    <xf numFmtId="167" fontId="3" fillId="0" borderId="0" xfId="10" applyNumberFormat="1" applyFont="1" applyFill="1" applyBorder="1"/>
    <xf numFmtId="9" fontId="3" fillId="0" borderId="0" xfId="10" applyNumberFormat="1" applyFont="1" applyBorder="1" applyAlignment="1">
      <alignment horizontal="center"/>
    </xf>
    <xf numFmtId="9" fontId="4" fillId="2" borderId="1" xfId="10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/>
    <xf numFmtId="167" fontId="4" fillId="2" borderId="1" xfId="10" applyNumberFormat="1" applyFont="1" applyFill="1" applyBorder="1"/>
    <xf numFmtId="9" fontId="3" fillId="0" borderId="0" xfId="10" applyNumberFormat="1" applyFont="1" applyBorder="1" applyAlignment="1" applyProtection="1">
      <alignment horizontal="center"/>
    </xf>
    <xf numFmtId="9" fontId="4" fillId="3" borderId="2" xfId="10" applyNumberFormat="1" applyFont="1" applyFill="1" applyBorder="1" applyAlignment="1" applyProtection="1">
      <alignment horizontal="center"/>
    </xf>
    <xf numFmtId="9" fontId="3" fillId="2" borderId="1" xfId="10" applyNumberFormat="1" applyFont="1" applyFill="1" applyBorder="1" applyAlignment="1" applyProtection="1">
      <alignment horizontal="center"/>
    </xf>
    <xf numFmtId="9" fontId="3" fillId="3" borderId="2" xfId="10" applyNumberFormat="1" applyFont="1" applyFill="1" applyBorder="1"/>
    <xf numFmtId="166" fontId="4" fillId="0" borderId="0" xfId="4" applyNumberFormat="1" applyFont="1" applyBorder="1"/>
    <xf numFmtId="39" fontId="12" fillId="0" borderId="4" xfId="0" applyNumberFormat="1" applyFont="1" applyBorder="1"/>
    <xf numFmtId="39" fontId="12" fillId="0" borderId="0" xfId="0" applyNumberFormat="1" applyFont="1" applyBorder="1"/>
    <xf numFmtId="39" fontId="12" fillId="0" borderId="5" xfId="0" applyNumberFormat="1" applyFont="1" applyBorder="1"/>
    <xf numFmtId="39" fontId="12" fillId="0" borderId="6" xfId="0" applyNumberFormat="1" applyFont="1" applyBorder="1"/>
    <xf numFmtId="39" fontId="11" fillId="0" borderId="7" xfId="0" applyNumberFormat="1" applyFont="1" applyBorder="1"/>
    <xf numFmtId="9" fontId="8" fillId="5" borderId="0" xfId="8" applyFont="1" applyFill="1"/>
    <xf numFmtId="9" fontId="8" fillId="0" borderId="0" xfId="8" applyFont="1"/>
    <xf numFmtId="9" fontId="14" fillId="5" borderId="0" xfId="8" applyFont="1" applyFill="1" applyAlignment="1">
      <alignment horizontal="center"/>
    </xf>
    <xf numFmtId="9" fontId="11" fillId="0" borderId="3" xfId="8" applyFont="1" applyBorder="1" applyAlignment="1">
      <alignment horizontal="center"/>
    </xf>
    <xf numFmtId="9" fontId="8" fillId="0" borderId="0" xfId="8" applyFont="1" applyFill="1" applyBorder="1"/>
    <xf numFmtId="9" fontId="12" fillId="0" borderId="0" xfId="8" applyFont="1"/>
    <xf numFmtId="9" fontId="12" fillId="0" borderId="4" xfId="8" applyFont="1" applyBorder="1"/>
    <xf numFmtId="9" fontId="12" fillId="0" borderId="0" xfId="8" applyFont="1" applyBorder="1"/>
    <xf numFmtId="9" fontId="12" fillId="0" borderId="5" xfId="8" applyFont="1" applyBorder="1"/>
    <xf numFmtId="9" fontId="12" fillId="0" borderId="6" xfId="8" applyFont="1" applyBorder="1"/>
    <xf numFmtId="9" fontId="11" fillId="0" borderId="7" xfId="8" applyFont="1" applyBorder="1"/>
    <xf numFmtId="0" fontId="19" fillId="2" borderId="0" xfId="6" applyFont="1" applyFill="1" applyBorder="1" applyAlignment="1">
      <alignment horizontal="center" wrapText="1"/>
    </xf>
    <xf numFmtId="166" fontId="19" fillId="2" borderId="0" xfId="3" applyNumberFormat="1" applyFont="1" applyFill="1" applyBorder="1" applyAlignment="1">
      <alignment horizontal="center" wrapText="1"/>
    </xf>
    <xf numFmtId="0" fontId="19" fillId="2" borderId="0" xfId="6" applyFont="1" applyFill="1" applyBorder="1" applyAlignment="1">
      <alignment horizontal="center"/>
    </xf>
    <xf numFmtId="0" fontId="2" fillId="0" borderId="0" xfId="6" applyFont="1" applyBorder="1"/>
    <xf numFmtId="0" fontId="19" fillId="0" borderId="0" xfId="6" applyFont="1" applyFill="1" applyBorder="1" applyAlignment="1">
      <alignment horizontal="center" wrapText="1"/>
    </xf>
    <xf numFmtId="166" fontId="19" fillId="0" borderId="0" xfId="3" applyNumberFormat="1" applyFont="1" applyFill="1" applyBorder="1" applyAlignment="1">
      <alignment horizontal="center"/>
    </xf>
    <xf numFmtId="0" fontId="19" fillId="0" borderId="4" xfId="6" applyFont="1" applyBorder="1" applyAlignment="1">
      <alignment wrapText="1"/>
    </xf>
    <xf numFmtId="0" fontId="2" fillId="0" borderId="0" xfId="6" applyFont="1" applyBorder="1" applyAlignment="1">
      <alignment wrapText="1"/>
    </xf>
    <xf numFmtId="166" fontId="2" fillId="0" borderId="0" xfId="3" applyNumberFormat="1" applyFont="1" applyBorder="1"/>
    <xf numFmtId="0" fontId="2" fillId="0" borderId="0" xfId="6" applyFont="1" applyBorder="1" applyAlignment="1">
      <alignment horizontal="center"/>
    </xf>
    <xf numFmtId="0" fontId="19" fillId="0" borderId="0" xfId="6" applyFont="1" applyBorder="1" applyAlignment="1">
      <alignment wrapText="1"/>
    </xf>
    <xf numFmtId="166" fontId="19" fillId="0" borderId="0" xfId="3" applyNumberFormat="1" applyFont="1" applyBorder="1"/>
    <xf numFmtId="0" fontId="19" fillId="0" borderId="0" xfId="6" applyFont="1" applyBorder="1"/>
    <xf numFmtId="0" fontId="19" fillId="0" borderId="0" xfId="6" applyFont="1" applyBorder="1" applyAlignment="1">
      <alignment horizontal="center"/>
    </xf>
    <xf numFmtId="166" fontId="19" fillId="0" borderId="4" xfId="3" applyNumberFormat="1" applyFont="1" applyBorder="1"/>
    <xf numFmtId="0" fontId="19" fillId="0" borderId="4" xfId="6" applyFont="1" applyBorder="1"/>
    <xf numFmtId="0" fontId="20" fillId="5" borderId="0" xfId="6" applyFont="1" applyFill="1" applyBorder="1" applyAlignment="1">
      <alignment wrapText="1"/>
    </xf>
    <xf numFmtId="166" fontId="20" fillId="5" borderId="0" xfId="3" applyNumberFormat="1" applyFont="1" applyFill="1" applyBorder="1"/>
    <xf numFmtId="0" fontId="20" fillId="5" borderId="0" xfId="6" applyFont="1" applyFill="1" applyBorder="1" applyAlignment="1">
      <alignment horizontal="center"/>
    </xf>
    <xf numFmtId="0" fontId="20" fillId="5" borderId="0" xfId="6" applyFont="1" applyFill="1" applyBorder="1"/>
    <xf numFmtId="39" fontId="21" fillId="0" borderId="0" xfId="0" applyNumberFormat="1" applyFont="1"/>
    <xf numFmtId="39" fontId="21" fillId="0" borderId="6" xfId="0" applyNumberFormat="1" applyFont="1" applyBorder="1"/>
    <xf numFmtId="39" fontId="21" fillId="0" borderId="5" xfId="0" applyNumberFormat="1" applyFont="1" applyBorder="1"/>
    <xf numFmtId="39" fontId="12" fillId="0" borderId="0" xfId="0" applyNumberFormat="1" applyFont="1"/>
    <xf numFmtId="39" fontId="12" fillId="0" borderId="4" xfId="0" applyNumberFormat="1" applyFont="1" applyBorder="1"/>
    <xf numFmtId="39" fontId="12" fillId="0" borderId="0" xfId="0" applyNumberFormat="1" applyFont="1" applyBorder="1"/>
    <xf numFmtId="39" fontId="22" fillId="0" borderId="0" xfId="0" applyNumberFormat="1" applyFont="1"/>
    <xf numFmtId="39" fontId="22" fillId="0" borderId="4" xfId="0" applyNumberFormat="1" applyFont="1" applyBorder="1"/>
    <xf numFmtId="39" fontId="22" fillId="0" borderId="0" xfId="0" applyNumberFormat="1" applyFont="1" applyBorder="1"/>
    <xf numFmtId="0" fontId="1" fillId="0" borderId="0" xfId="6" applyFont="1" applyFill="1" applyBorder="1" applyAlignment="1">
      <alignment horizontal="center"/>
    </xf>
    <xf numFmtId="0" fontId="1" fillId="0" borderId="0" xfId="6" applyFont="1" applyBorder="1"/>
    <xf numFmtId="166" fontId="1" fillId="0" borderId="4" xfId="3" applyNumberFormat="1" applyFont="1" applyBorder="1"/>
    <xf numFmtId="0" fontId="1" fillId="0" borderId="4" xfId="6" applyFont="1" applyBorder="1" applyAlignment="1">
      <alignment horizontal="center"/>
    </xf>
    <xf numFmtId="0" fontId="1" fillId="0" borderId="4" xfId="6" applyFont="1" applyBorder="1"/>
    <xf numFmtId="0" fontId="1" fillId="0" borderId="8" xfId="6" applyFont="1" applyBorder="1"/>
    <xf numFmtId="0" fontId="1" fillId="0" borderId="8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1" fillId="0" borderId="0" xfId="6" applyFont="1" applyBorder="1" applyAlignment="1">
      <alignment wrapText="1"/>
    </xf>
    <xf numFmtId="166" fontId="1" fillId="0" borderId="0" xfId="3" applyNumberFormat="1" applyFont="1" applyBorder="1"/>
    <xf numFmtId="0" fontId="1" fillId="0" borderId="8" xfId="6" applyFont="1" applyBorder="1" applyAlignment="1">
      <alignment wrapText="1"/>
    </xf>
    <xf numFmtId="0" fontId="0" fillId="0" borderId="0" xfId="6" applyFont="1" applyBorder="1"/>
    <xf numFmtId="0" fontId="0" fillId="0" borderId="0" xfId="6" applyFont="1" applyBorder="1" applyAlignment="1">
      <alignment wrapText="1"/>
    </xf>
    <xf numFmtId="0" fontId="1" fillId="0" borderId="9" xfId="6" applyFont="1" applyBorder="1" applyAlignment="1">
      <alignment wrapText="1"/>
    </xf>
    <xf numFmtId="166" fontId="1" fillId="0" borderId="9" xfId="3" applyNumberFormat="1" applyFont="1" applyBorder="1"/>
    <xf numFmtId="0" fontId="1" fillId="0" borderId="9" xfId="6" applyFont="1" applyBorder="1" applyAlignment="1">
      <alignment horizontal="center"/>
    </xf>
    <xf numFmtId="0" fontId="1" fillId="0" borderId="9" xfId="6" applyFont="1" applyBorder="1"/>
    <xf numFmtId="0" fontId="0" fillId="0" borderId="8" xfId="6" applyFont="1" applyBorder="1"/>
    <xf numFmtId="3" fontId="1" fillId="0" borderId="8" xfId="6" applyNumberFormat="1" applyFont="1" applyBorder="1"/>
    <xf numFmtId="0" fontId="0" fillId="0" borderId="0" xfId="6" applyFont="1" applyBorder="1" applyAlignment="1">
      <alignment horizontal="center"/>
    </xf>
    <xf numFmtId="39" fontId="23" fillId="0" borderId="7" xfId="0" applyNumberFormat="1" applyFont="1" applyBorder="1"/>
    <xf numFmtId="49" fontId="22" fillId="0" borderId="0" xfId="0" applyNumberFormat="1" applyFont="1"/>
    <xf numFmtId="168" fontId="8" fillId="0" borderId="0" xfId="0" applyNumberFormat="1" applyFont="1" applyFill="1" applyBorder="1" applyProtection="1">
      <protection locked="0"/>
    </xf>
  </cellXfs>
  <cellStyles count="39">
    <cellStyle name="Comma 2" xfId="1"/>
    <cellStyle name="Currency" xfId="2" builtinId="4"/>
    <cellStyle name="Currency 2" xfId="3"/>
    <cellStyle name="Currency 3" xfId="4"/>
    <cellStyle name="DATE" xfId="5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Normal 2" xfId="6"/>
    <cellStyle name="Normal 3" xfId="7"/>
    <cellStyle name="Percent" xfId="8" builtinId="5"/>
    <cellStyle name="Percent 2" xfId="9"/>
    <cellStyle name="Percent 3" xfId="10"/>
  </cellStyles>
  <dxfs count="4"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externalLink" Target="externalLinks/externalLink3.xml"/><Relationship Id="rId9" Type="http://schemas.openxmlformats.org/officeDocument/2006/relationships/externalLink" Target="externalLinks/externalLink4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Omar/St.%20Teresa%20of%20Avila/Finance%20Council/Finance%20Council%20Binder/FY2012%20Budget/St.%20Teresa%20of%20Avila%20-%20FY2012%20Budget%20-%20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Finance%20Council%20Binder/FY2009%20Budget/St.%20Teresa%20of%20Avila%20-%20FY2009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2010%20Budget/Budget_2010_Worksheet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Finance%20Council%20Binder/FY2011%20Budget/St.%20Teresa%20of%20Avila%20-%20FY2011%20Budg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2009 Actual"/>
      <sheetName val="FY2010 Actual"/>
      <sheetName val="FY2011 Budget"/>
      <sheetName val="FY2012 Budg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1 Page 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(Revised)"/>
      <sheetName val="2009 Budget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microsoft.com/office/2006/relationships/xlExternalLinkPath/xlPathMissing" Target="%5bBudget_2010_Worksheet%20v1.xls%5dBudget%202010%20Summa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L72"/>
  <sheetViews>
    <sheetView view="pageBreakPreview" topLeftCell="A18" zoomScaleSheetLayoutView="100" workbookViewId="0">
      <selection activeCell="C53" sqref="C53"/>
    </sheetView>
  </sheetViews>
  <sheetFormatPr baseColWidth="10" defaultColWidth="8.83203125" defaultRowHeight="10" x14ac:dyDescent="0"/>
  <cols>
    <col min="1" max="1" width="41.83203125" style="71" bestFit="1" customWidth="1"/>
    <col min="2" max="3" width="17.1640625" style="81" bestFit="1" customWidth="1"/>
    <col min="4" max="4" width="6.1640625" style="134" bestFit="1" customWidth="1"/>
    <col min="5" max="5" width="2.5" style="82" customWidth="1"/>
    <col min="6" max="6" width="17.1640625" style="81" bestFit="1" customWidth="1"/>
    <col min="7" max="7" width="17.5" style="78" bestFit="1" customWidth="1"/>
    <col min="8" max="16384" width="8.83203125" style="78"/>
  </cols>
  <sheetData>
    <row r="1" spans="1:12">
      <c r="A1" s="73" t="s">
        <v>77</v>
      </c>
      <c r="B1" s="74"/>
      <c r="C1" s="75"/>
      <c r="D1" s="133"/>
      <c r="E1" s="76"/>
      <c r="F1" s="75"/>
      <c r="G1" s="77"/>
    </row>
    <row r="2" spans="1:12">
      <c r="A2" s="79" t="s">
        <v>200</v>
      </c>
      <c r="B2" s="80">
        <v>41152</v>
      </c>
    </row>
    <row r="3" spans="1:12" ht="13.5" customHeight="1">
      <c r="A3" s="79" t="s">
        <v>96</v>
      </c>
      <c r="B3" s="83">
        <v>500</v>
      </c>
    </row>
    <row r="5" spans="1:12" s="79" customFormat="1">
      <c r="A5" s="84" t="s">
        <v>100</v>
      </c>
      <c r="B5" s="85" t="s">
        <v>241</v>
      </c>
      <c r="C5" s="85" t="s">
        <v>222</v>
      </c>
      <c r="D5" s="135" t="s">
        <v>201</v>
      </c>
      <c r="E5" s="77"/>
      <c r="F5" s="85" t="s">
        <v>242</v>
      </c>
      <c r="G5" s="85" t="s">
        <v>243</v>
      </c>
      <c r="H5" s="86"/>
      <c r="I5" s="86"/>
      <c r="J5" s="87"/>
      <c r="L5" s="88"/>
    </row>
    <row r="6" spans="1:12" s="89" customFormat="1" ht="11" thickBot="1">
      <c r="B6" s="66" t="s">
        <v>245</v>
      </c>
      <c r="C6" s="66" t="s">
        <v>246</v>
      </c>
      <c r="D6" s="136"/>
      <c r="E6" s="90"/>
      <c r="F6" s="66" t="s">
        <v>223</v>
      </c>
      <c r="G6" s="66" t="s">
        <v>224</v>
      </c>
      <c r="H6" s="91"/>
      <c r="I6" s="91"/>
      <c r="J6" s="92"/>
      <c r="L6" s="93"/>
    </row>
    <row r="7" spans="1:12" s="89" customFormat="1" ht="11" thickTop="1">
      <c r="A7" s="94" t="s">
        <v>99</v>
      </c>
      <c r="B7" s="95">
        <f>B17/(($B$2-DATE(2010,7,1))/7)</f>
        <v>709.04776515151525</v>
      </c>
      <c r="C7" s="95">
        <f>C17/(($B$2-DATE(2010,7,1))/7)</f>
        <v>689.27797979797981</v>
      </c>
      <c r="D7" s="137">
        <f>(B7-C7)/C7</f>
        <v>2.8681875720634159E-2</v>
      </c>
      <c r="E7" s="95"/>
      <c r="F7" s="95">
        <f>F17/52</f>
        <v>9326.9230769230762</v>
      </c>
      <c r="G7" s="95">
        <f>G17/52</f>
        <v>8702.355961538462</v>
      </c>
      <c r="H7" s="91"/>
      <c r="I7" s="91"/>
      <c r="J7" s="92"/>
      <c r="L7" s="93"/>
    </row>
    <row r="8" spans="1:12" s="89" customFormat="1">
      <c r="A8" s="94" t="s">
        <v>97</v>
      </c>
      <c r="B8" s="95">
        <f>B7/$B$3</f>
        <v>1.4180955303030305</v>
      </c>
      <c r="C8" s="95">
        <f>C7/$B$3</f>
        <v>1.3785559595959596</v>
      </c>
      <c r="D8" s="137">
        <f>(B8-C8)/C8</f>
        <v>2.8681875720634194E-2</v>
      </c>
      <c r="E8" s="95"/>
      <c r="F8" s="95">
        <f>F7/$B$3</f>
        <v>18.653846153846153</v>
      </c>
      <c r="G8" s="95">
        <f>G7/$B$3</f>
        <v>17.404711923076924</v>
      </c>
      <c r="H8" s="91"/>
      <c r="I8" s="91"/>
      <c r="J8" s="78"/>
      <c r="L8" s="93"/>
    </row>
    <row r="9" spans="1:12" s="89" customFormat="1">
      <c r="A9" s="94"/>
      <c r="B9" s="95"/>
      <c r="C9" s="95"/>
      <c r="D9" s="137"/>
      <c r="E9" s="95"/>
      <c r="F9" s="95"/>
      <c r="G9" s="95"/>
      <c r="H9" s="91"/>
      <c r="I9" s="91"/>
      <c r="J9" s="92"/>
      <c r="L9" s="96"/>
    </row>
    <row r="10" spans="1:12" s="89" customFormat="1">
      <c r="A10" s="79" t="s">
        <v>101</v>
      </c>
      <c r="B10" s="95">
        <f>B51/(($B$2-DATE(2010,7,1))/7)</f>
        <v>1132.9068686868688</v>
      </c>
      <c r="C10" s="95">
        <f>C51/(($B$2-DATE(2010,7,1))/7)</f>
        <v>888.83118686868681</v>
      </c>
      <c r="D10" s="137">
        <f>(B10-C10)/C10</f>
        <v>0.27460296783470201</v>
      </c>
      <c r="E10" s="95"/>
      <c r="F10" s="95">
        <f>F51/52</f>
        <v>15985.846153846154</v>
      </c>
      <c r="G10" s="95">
        <f>G51/52</f>
        <v>15610.193846153845</v>
      </c>
      <c r="H10" s="91"/>
      <c r="I10" s="91"/>
      <c r="J10" s="92"/>
      <c r="L10" s="96"/>
    </row>
    <row r="11" spans="1:12" s="89" customFormat="1">
      <c r="A11" s="79" t="s">
        <v>98</v>
      </c>
      <c r="B11" s="95">
        <f>B10/$B$3</f>
        <v>2.2658137373737377</v>
      </c>
      <c r="C11" s="95">
        <f>C10/$B$3</f>
        <v>1.7776623737373736</v>
      </c>
      <c r="D11" s="137">
        <f>(B11-C11)/C11</f>
        <v>0.27460296783470206</v>
      </c>
      <c r="E11" s="95"/>
      <c r="F11" s="95">
        <f>F10/$B$3</f>
        <v>31.971692307692308</v>
      </c>
      <c r="G11" s="95">
        <f>G10/$B$3</f>
        <v>31.220387692307689</v>
      </c>
      <c r="H11" s="91"/>
      <c r="I11" s="91"/>
      <c r="J11" s="92"/>
      <c r="L11" s="96"/>
    </row>
    <row r="13" spans="1:12">
      <c r="A13" s="73" t="s">
        <v>79</v>
      </c>
      <c r="B13" s="85" t="s">
        <v>241</v>
      </c>
      <c r="C13" s="85" t="s">
        <v>222</v>
      </c>
      <c r="D13" s="135"/>
      <c r="E13" s="77"/>
      <c r="F13" s="85" t="s">
        <v>242</v>
      </c>
      <c r="G13" s="85" t="s">
        <v>243</v>
      </c>
    </row>
    <row r="14" spans="1:12" s="90" customFormat="1" ht="11" thickBot="1">
      <c r="A14" s="65"/>
      <c r="B14" s="66" t="s">
        <v>245</v>
      </c>
      <c r="C14" s="66" t="s">
        <v>246</v>
      </c>
      <c r="D14" s="136"/>
      <c r="F14" s="66" t="s">
        <v>223</v>
      </c>
      <c r="G14" s="66" t="s">
        <v>224</v>
      </c>
    </row>
    <row r="15" spans="1:12" ht="11" thickTop="1">
      <c r="A15" s="67" t="s">
        <v>105</v>
      </c>
      <c r="B15" s="68"/>
      <c r="C15" s="68"/>
      <c r="D15" s="138"/>
      <c r="E15" s="78"/>
      <c r="F15" s="68"/>
    </row>
    <row r="16" spans="1:12">
      <c r="A16" s="67" t="s">
        <v>106</v>
      </c>
      <c r="B16" s="68"/>
      <c r="C16" s="68"/>
      <c r="D16" s="138"/>
      <c r="E16" s="78"/>
      <c r="F16" s="68"/>
      <c r="G16" s="68"/>
    </row>
    <row r="17" spans="1:7">
      <c r="A17" s="72" t="s">
        <v>107</v>
      </c>
      <c r="B17" s="170">
        <v>80223.69</v>
      </c>
      <c r="C17" s="170">
        <v>77986.880000000005</v>
      </c>
      <c r="D17" s="138">
        <f t="shared" ref="D17:D52" si="0">(B17-C17)/C17</f>
        <v>2.8681875720634003E-2</v>
      </c>
      <c r="E17" s="78"/>
      <c r="F17" s="195">
        <v>485000</v>
      </c>
      <c r="G17" s="170">
        <v>452522.51</v>
      </c>
    </row>
    <row r="18" spans="1:7">
      <c r="A18" s="72" t="s">
        <v>108</v>
      </c>
      <c r="B18" s="170"/>
      <c r="C18" s="170"/>
      <c r="D18" s="138" t="e">
        <f t="shared" si="0"/>
        <v>#DIV/0!</v>
      </c>
      <c r="E18" s="78"/>
      <c r="F18" s="195">
        <v>25000</v>
      </c>
      <c r="G18" s="170">
        <v>34472.449999999997</v>
      </c>
    </row>
    <row r="19" spans="1:7">
      <c r="A19" s="72" t="s">
        <v>109</v>
      </c>
      <c r="B19" s="170"/>
      <c r="C19" s="170"/>
      <c r="D19" s="138" t="e">
        <f t="shared" si="0"/>
        <v>#DIV/0!</v>
      </c>
      <c r="E19" s="78"/>
      <c r="F19" s="195">
        <v>25000</v>
      </c>
      <c r="G19" s="170">
        <v>22890</v>
      </c>
    </row>
    <row r="20" spans="1:7">
      <c r="A20" s="72" t="s">
        <v>110</v>
      </c>
      <c r="B20" s="170">
        <v>200</v>
      </c>
      <c r="C20" s="170">
        <v>562</v>
      </c>
      <c r="D20" s="138">
        <f t="shared" si="0"/>
        <v>-0.64412811387900359</v>
      </c>
      <c r="E20" s="78"/>
      <c r="F20" s="195">
        <v>5000</v>
      </c>
      <c r="G20" s="170">
        <v>2655</v>
      </c>
    </row>
    <row r="21" spans="1:7">
      <c r="A21" s="72" t="s">
        <v>111</v>
      </c>
      <c r="B21" s="170">
        <v>8339</v>
      </c>
      <c r="C21" s="170">
        <v>7700</v>
      </c>
      <c r="D21" s="138">
        <f t="shared" si="0"/>
        <v>8.2987012987012984E-2</v>
      </c>
      <c r="E21" s="78"/>
      <c r="F21" s="98">
        <v>20000</v>
      </c>
      <c r="G21" s="170">
        <v>20867</v>
      </c>
    </row>
    <row r="22" spans="1:7">
      <c r="A22" s="72" t="s">
        <v>219</v>
      </c>
      <c r="B22" s="170">
        <v>1568</v>
      </c>
      <c r="C22" s="170">
        <v>50</v>
      </c>
      <c r="D22" s="138">
        <f>(B22-C22)/C22</f>
        <v>30.36</v>
      </c>
      <c r="E22" s="78"/>
      <c r="F22" s="98">
        <v>100</v>
      </c>
      <c r="G22" s="170">
        <v>100</v>
      </c>
    </row>
    <row r="23" spans="1:7">
      <c r="A23" s="72" t="s">
        <v>112</v>
      </c>
      <c r="B23" s="170">
        <v>3000</v>
      </c>
      <c r="C23" s="170">
        <v>2173</v>
      </c>
      <c r="D23" s="138">
        <f t="shared" si="0"/>
        <v>0.38057984353428442</v>
      </c>
      <c r="E23" s="78"/>
      <c r="F23" s="98">
        <v>0</v>
      </c>
      <c r="G23" s="170">
        <v>18303</v>
      </c>
    </row>
    <row r="24" spans="1:7">
      <c r="A24" s="72" t="s">
        <v>113</v>
      </c>
      <c r="B24" s="170">
        <v>1926.1</v>
      </c>
      <c r="C24" s="170">
        <v>7155</v>
      </c>
      <c r="D24" s="138">
        <f t="shared" si="0"/>
        <v>-0.73080363382250169</v>
      </c>
      <c r="E24" s="78"/>
      <c r="F24" s="98">
        <v>212000</v>
      </c>
      <c r="G24" s="170">
        <v>247494.83</v>
      </c>
    </row>
    <row r="25" spans="1:7">
      <c r="A25" s="72" t="s">
        <v>114</v>
      </c>
      <c r="B25" s="170">
        <v>33.369999999999997</v>
      </c>
      <c r="C25" s="170">
        <v>40.67</v>
      </c>
      <c r="D25" s="138">
        <f t="shared" si="0"/>
        <v>-0.17949348414064431</v>
      </c>
      <c r="E25" s="78"/>
      <c r="F25" s="98">
        <v>311</v>
      </c>
      <c r="G25" s="170">
        <v>340.42</v>
      </c>
    </row>
    <row r="26" spans="1:7" ht="11" thickBot="1">
      <c r="A26" s="72" t="s">
        <v>115</v>
      </c>
      <c r="B26" s="171">
        <v>4078.41</v>
      </c>
      <c r="C26" s="171">
        <v>6576.74</v>
      </c>
      <c r="D26" s="139">
        <f t="shared" si="0"/>
        <v>-0.37987361519537033</v>
      </c>
      <c r="E26" s="78"/>
      <c r="F26" s="128">
        <v>60000</v>
      </c>
      <c r="G26" s="171">
        <v>40890.480000000003</v>
      </c>
    </row>
    <row r="27" spans="1:7">
      <c r="A27" s="67" t="s">
        <v>116</v>
      </c>
      <c r="B27" s="98">
        <f>ROUND(SUM(B15:B26),5)</f>
        <v>99368.57</v>
      </c>
      <c r="C27" s="167">
        <f>SUM(C17:C26)</f>
        <v>102244.29000000001</v>
      </c>
      <c r="D27" s="138">
        <f>(B27-C27)/C27</f>
        <v>-2.8125971631276437E-2</v>
      </c>
      <c r="E27" s="78"/>
      <c r="F27" s="98">
        <f>SUM(F17:F26)</f>
        <v>832411</v>
      </c>
      <c r="G27" s="98">
        <f>ROUND(SUM(G16:G26),5)</f>
        <v>840535.69</v>
      </c>
    </row>
    <row r="28" spans="1:7" ht="30" customHeight="1">
      <c r="A28" s="67" t="s">
        <v>117</v>
      </c>
      <c r="B28" s="98"/>
      <c r="C28" s="68"/>
      <c r="D28" s="138"/>
      <c r="E28" s="78"/>
      <c r="F28" s="68"/>
      <c r="G28" s="68"/>
    </row>
    <row r="29" spans="1:7">
      <c r="A29" s="72" t="s">
        <v>118</v>
      </c>
      <c r="B29" s="170">
        <v>61166.96</v>
      </c>
      <c r="C29" s="170">
        <v>47529.13</v>
      </c>
      <c r="D29" s="138">
        <f t="shared" si="0"/>
        <v>0.28693624309975801</v>
      </c>
      <c r="E29" s="78"/>
      <c r="F29" s="98">
        <v>329031</v>
      </c>
      <c r="G29" s="170">
        <v>328454.74</v>
      </c>
    </row>
    <row r="30" spans="1:7">
      <c r="A30" s="72" t="s">
        <v>119</v>
      </c>
      <c r="B30" s="170">
        <v>8728</v>
      </c>
      <c r="C30" s="170">
        <v>7103.68</v>
      </c>
      <c r="D30" s="138">
        <f t="shared" si="0"/>
        <v>0.2286589486012883</v>
      </c>
      <c r="E30" s="78"/>
      <c r="F30" s="98">
        <v>45660</v>
      </c>
      <c r="G30" s="170">
        <v>46712.78</v>
      </c>
    </row>
    <row r="31" spans="1:7">
      <c r="A31" s="72" t="s">
        <v>120</v>
      </c>
      <c r="B31" s="170">
        <v>3839.35</v>
      </c>
      <c r="C31" s="170">
        <v>2928.19</v>
      </c>
      <c r="D31" s="138">
        <f t="shared" si="0"/>
        <v>0.31116833265600929</v>
      </c>
      <c r="E31" s="78"/>
      <c r="F31" s="98">
        <v>21018</v>
      </c>
      <c r="G31" s="170">
        <v>19781.34</v>
      </c>
    </row>
    <row r="32" spans="1:7">
      <c r="A32" s="72" t="s">
        <v>121</v>
      </c>
      <c r="B32" s="170">
        <v>762</v>
      </c>
      <c r="C32" s="170">
        <v>294.16000000000003</v>
      </c>
      <c r="D32" s="138">
        <f t="shared" si="0"/>
        <v>1.5904269785150935</v>
      </c>
      <c r="E32" s="78"/>
      <c r="F32" s="98">
        <v>21980</v>
      </c>
      <c r="G32" s="170">
        <v>1741.8</v>
      </c>
    </row>
    <row r="33" spans="1:7">
      <c r="A33" s="72" t="s">
        <v>122</v>
      </c>
      <c r="B33" s="170"/>
      <c r="C33" s="170"/>
      <c r="D33" s="138" t="e">
        <f t="shared" si="0"/>
        <v>#DIV/0!</v>
      </c>
      <c r="E33" s="78"/>
      <c r="F33" s="98">
        <v>3400</v>
      </c>
      <c r="G33" s="170">
        <v>1100</v>
      </c>
    </row>
    <row r="34" spans="1:7">
      <c r="A34" s="72" t="s">
        <v>123</v>
      </c>
      <c r="B34" s="170">
        <v>875.4</v>
      </c>
      <c r="C34" s="170">
        <v>714.04</v>
      </c>
      <c r="D34" s="138">
        <f t="shared" si="0"/>
        <v>0.22598173771777494</v>
      </c>
      <c r="E34" s="78"/>
      <c r="F34" s="98">
        <v>8000</v>
      </c>
      <c r="G34" s="170">
        <v>13008.66</v>
      </c>
    </row>
    <row r="35" spans="1:7">
      <c r="A35" s="72" t="s">
        <v>124</v>
      </c>
      <c r="B35" s="170">
        <v>3606</v>
      </c>
      <c r="C35" s="170">
        <v>3534.68</v>
      </c>
      <c r="D35" s="138">
        <f t="shared" si="0"/>
        <v>2.0177215476365661E-2</v>
      </c>
      <c r="E35" s="78"/>
      <c r="F35" s="98">
        <v>25000</v>
      </c>
      <c r="G35" s="170">
        <v>33350.44</v>
      </c>
    </row>
    <row r="36" spans="1:7">
      <c r="A36" s="72" t="s">
        <v>125</v>
      </c>
      <c r="B36" s="170">
        <v>18</v>
      </c>
      <c r="C36" s="170">
        <v>0</v>
      </c>
      <c r="D36" s="138" t="e">
        <f t="shared" si="0"/>
        <v>#DIV/0!</v>
      </c>
      <c r="E36" s="78"/>
      <c r="F36" s="98">
        <v>300</v>
      </c>
      <c r="G36" s="170">
        <v>8</v>
      </c>
    </row>
    <row r="37" spans="1:7">
      <c r="A37" s="72" t="s">
        <v>126</v>
      </c>
      <c r="B37" s="170">
        <v>3035.84</v>
      </c>
      <c r="C37" s="170">
        <v>1787.51</v>
      </c>
      <c r="D37" s="138">
        <f t="shared" si="0"/>
        <v>0.69836252664320764</v>
      </c>
      <c r="E37" s="78"/>
      <c r="F37" s="98">
        <v>10000</v>
      </c>
      <c r="G37" s="170">
        <v>10678.46</v>
      </c>
    </row>
    <row r="38" spans="1:7">
      <c r="A38" s="72" t="s">
        <v>127</v>
      </c>
      <c r="B38" s="170">
        <v>1068.83</v>
      </c>
      <c r="C38" s="170">
        <v>419.67</v>
      </c>
      <c r="D38" s="138">
        <f t="shared" si="0"/>
        <v>1.546834417518526</v>
      </c>
      <c r="E38" s="78"/>
      <c r="F38" s="98">
        <v>12000</v>
      </c>
      <c r="G38" s="170">
        <v>2419.83</v>
      </c>
    </row>
    <row r="39" spans="1:7">
      <c r="A39" s="72" t="s">
        <v>128</v>
      </c>
      <c r="B39" s="170">
        <v>1464.03</v>
      </c>
      <c r="C39" s="170">
        <v>804.44</v>
      </c>
      <c r="D39" s="138">
        <f t="shared" si="0"/>
        <v>0.81993685047983678</v>
      </c>
      <c r="E39" s="78"/>
      <c r="F39" s="98">
        <v>18000</v>
      </c>
      <c r="G39" s="170">
        <v>17278.88</v>
      </c>
    </row>
    <row r="40" spans="1:7">
      <c r="A40" s="72" t="s">
        <v>129</v>
      </c>
      <c r="B40" s="170">
        <v>3733.57</v>
      </c>
      <c r="C40" s="170">
        <v>2793.55</v>
      </c>
      <c r="D40" s="138">
        <f t="shared" si="0"/>
        <v>0.33649657246156323</v>
      </c>
      <c r="E40" s="78"/>
      <c r="F40" s="98">
        <v>18500</v>
      </c>
      <c r="G40" s="170">
        <v>15780.58</v>
      </c>
    </row>
    <row r="41" spans="1:7">
      <c r="A41" s="72" t="s">
        <v>130</v>
      </c>
      <c r="B41" s="170">
        <v>581.89</v>
      </c>
      <c r="C41" s="170">
        <v>379.96</v>
      </c>
      <c r="D41" s="138">
        <f t="shared" si="0"/>
        <v>0.53145067901884413</v>
      </c>
      <c r="E41" s="78"/>
      <c r="F41" s="98">
        <v>3000</v>
      </c>
      <c r="G41" s="170">
        <v>3884.62</v>
      </c>
    </row>
    <row r="42" spans="1:7">
      <c r="A42" s="72" t="s">
        <v>131</v>
      </c>
      <c r="B42" s="170">
        <v>3452.51</v>
      </c>
      <c r="C42" s="170">
        <v>8725.86</v>
      </c>
      <c r="D42" s="138">
        <f t="shared" si="0"/>
        <v>-0.60433584769867954</v>
      </c>
      <c r="E42" s="78"/>
      <c r="F42" s="98">
        <v>49000</v>
      </c>
      <c r="G42" s="170">
        <v>62921.57</v>
      </c>
    </row>
    <row r="43" spans="1:7">
      <c r="A43" s="72" t="s">
        <v>132</v>
      </c>
      <c r="B43" s="170"/>
      <c r="C43" s="170"/>
      <c r="D43" s="138" t="e">
        <f t="shared" si="0"/>
        <v>#DIV/0!</v>
      </c>
      <c r="E43" s="78"/>
      <c r="F43" s="98"/>
      <c r="G43" s="170">
        <v>0</v>
      </c>
    </row>
    <row r="44" spans="1:7">
      <c r="A44" s="72" t="s">
        <v>133</v>
      </c>
      <c r="B44" s="170">
        <v>1157.3900000000001</v>
      </c>
      <c r="C44" s="170">
        <v>720.43</v>
      </c>
      <c r="D44" s="138">
        <f t="shared" si="0"/>
        <v>0.60652665769054614</v>
      </c>
      <c r="E44" s="78"/>
      <c r="F44" s="98">
        <v>16000</v>
      </c>
      <c r="G44" s="170">
        <v>14750.34</v>
      </c>
    </row>
    <row r="45" spans="1:7">
      <c r="A45" s="72" t="s">
        <v>134</v>
      </c>
      <c r="B45" s="170">
        <v>1417.1</v>
      </c>
      <c r="C45" s="170">
        <v>201.8</v>
      </c>
      <c r="D45" s="138">
        <f t="shared" si="0"/>
        <v>6.0222993062438048</v>
      </c>
      <c r="E45" s="78"/>
      <c r="F45" s="98">
        <v>5500</v>
      </c>
      <c r="G45" s="170">
        <v>6464.15</v>
      </c>
    </row>
    <row r="46" spans="1:7">
      <c r="A46" s="72" t="s">
        <v>135</v>
      </c>
      <c r="B46" s="170">
        <v>12318</v>
      </c>
      <c r="C46" s="170">
        <v>10480</v>
      </c>
      <c r="D46" s="138">
        <f t="shared" si="0"/>
        <v>0.17538167938931298</v>
      </c>
      <c r="E46" s="78"/>
      <c r="F46" s="98">
        <v>73904</v>
      </c>
      <c r="G46" s="170">
        <v>62880</v>
      </c>
    </row>
    <row r="47" spans="1:7">
      <c r="A47" s="72" t="s">
        <v>136</v>
      </c>
      <c r="B47" s="170">
        <v>4312</v>
      </c>
      <c r="C47" s="170">
        <v>3668</v>
      </c>
      <c r="D47" s="138">
        <f t="shared" si="0"/>
        <v>0.17557251908396945</v>
      </c>
      <c r="E47" s="78"/>
      <c r="F47" s="98">
        <v>25866</v>
      </c>
      <c r="G47" s="170">
        <v>22008</v>
      </c>
    </row>
    <row r="48" spans="1:7">
      <c r="A48" s="72" t="s">
        <v>137</v>
      </c>
      <c r="B48" s="170">
        <v>4126</v>
      </c>
      <c r="C48" s="170">
        <v>3900</v>
      </c>
      <c r="D48" s="138">
        <f t="shared" si="0"/>
        <v>5.7948717948717948E-2</v>
      </c>
      <c r="E48" s="78"/>
      <c r="F48" s="98">
        <v>24755</v>
      </c>
      <c r="G48" s="170">
        <v>23400</v>
      </c>
    </row>
    <row r="49" spans="1:7">
      <c r="A49" s="72" t="s">
        <v>138</v>
      </c>
      <c r="B49" s="170">
        <v>1050</v>
      </c>
      <c r="C49" s="170">
        <v>0</v>
      </c>
      <c r="D49" s="138" t="e">
        <f t="shared" si="0"/>
        <v>#DIV/0!</v>
      </c>
      <c r="E49" s="78"/>
      <c r="F49" s="98">
        <v>1050</v>
      </c>
      <c r="G49" s="170">
        <v>2100</v>
      </c>
    </row>
    <row r="50" spans="1:7" ht="11" thickBot="1">
      <c r="A50" s="72" t="s">
        <v>139</v>
      </c>
      <c r="B50" s="172">
        <v>11467.45</v>
      </c>
      <c r="C50" s="172">
        <v>4579.8</v>
      </c>
      <c r="D50" s="140">
        <f t="shared" si="0"/>
        <v>1.503919385125988</v>
      </c>
      <c r="E50" s="78"/>
      <c r="F50" s="129">
        <v>119300</v>
      </c>
      <c r="G50" s="172">
        <v>123005.89</v>
      </c>
    </row>
    <row r="51" spans="1:7" ht="11" thickBot="1">
      <c r="A51" s="67" t="s">
        <v>140</v>
      </c>
      <c r="B51" s="130">
        <f>ROUND(SUM(B28:B50),5)</f>
        <v>128180.32</v>
      </c>
      <c r="C51" s="130">
        <f>ROUND(SUM(C28:C50),5)</f>
        <v>100564.9</v>
      </c>
      <c r="D51" s="141">
        <f t="shared" si="0"/>
        <v>0.27460296783470189</v>
      </c>
      <c r="E51" s="78"/>
      <c r="F51" s="130">
        <f>SUM(F29:F50)</f>
        <v>831264</v>
      </c>
      <c r="G51" s="130">
        <f>ROUND(SUM(G28:G50),5)</f>
        <v>811730.08</v>
      </c>
    </row>
    <row r="52" spans="1:7" ht="30" customHeight="1">
      <c r="A52" s="67" t="s">
        <v>141</v>
      </c>
      <c r="B52" s="68">
        <f>(B27-B51)</f>
        <v>-28811.75</v>
      </c>
      <c r="C52" s="170">
        <f>ROUND(C15+C27-C51,5)</f>
        <v>1679.39</v>
      </c>
      <c r="D52" s="138">
        <f t="shared" si="0"/>
        <v>-18.156080481603439</v>
      </c>
      <c r="E52" s="78"/>
      <c r="F52" s="68">
        <f>(F27-F51)</f>
        <v>1147</v>
      </c>
      <c r="G52" s="68">
        <f>(G27-G51)</f>
        <v>28805.609999999986</v>
      </c>
    </row>
    <row r="53" spans="1:7" ht="30" customHeight="1">
      <c r="A53" s="67" t="s">
        <v>142</v>
      </c>
      <c r="B53" s="68"/>
      <c r="C53" s="68"/>
      <c r="D53" s="138"/>
      <c r="E53" s="78"/>
      <c r="F53" s="68"/>
      <c r="G53" s="68"/>
    </row>
    <row r="54" spans="1:7">
      <c r="A54" s="67" t="s">
        <v>143</v>
      </c>
      <c r="B54" s="68"/>
      <c r="C54" s="68"/>
      <c r="D54" s="138"/>
      <c r="E54" s="78"/>
      <c r="F54" s="68"/>
      <c r="G54" s="68"/>
    </row>
    <row r="55" spans="1:7">
      <c r="A55" s="72" t="s">
        <v>144</v>
      </c>
      <c r="B55" s="170">
        <v>510</v>
      </c>
      <c r="C55" s="170">
        <v>0</v>
      </c>
      <c r="D55" s="138" t="e">
        <f t="shared" ref="D55:D69" si="1">(B55-C55)/C55</f>
        <v>#DIV/0!</v>
      </c>
      <c r="E55" s="78"/>
      <c r="F55" s="98">
        <v>2000</v>
      </c>
      <c r="G55" s="170">
        <v>4303.83</v>
      </c>
    </row>
    <row r="56" spans="1:7">
      <c r="A56" s="72" t="s">
        <v>145</v>
      </c>
      <c r="B56" s="170">
        <v>1354.12</v>
      </c>
      <c r="C56" s="170">
        <v>2571.66</v>
      </c>
      <c r="D56" s="138">
        <f t="shared" si="1"/>
        <v>-0.47344516771268363</v>
      </c>
      <c r="E56" s="78"/>
      <c r="F56" s="98">
        <v>9000</v>
      </c>
      <c r="G56" s="170">
        <v>9604.7099999999991</v>
      </c>
    </row>
    <row r="57" spans="1:7">
      <c r="A57" s="72" t="s">
        <v>146</v>
      </c>
      <c r="B57" s="170">
        <v>195</v>
      </c>
      <c r="C57" s="170">
        <v>820</v>
      </c>
      <c r="D57" s="138">
        <f t="shared" si="1"/>
        <v>-0.76219512195121952</v>
      </c>
      <c r="E57" s="78"/>
      <c r="F57" s="98">
        <v>4000</v>
      </c>
      <c r="G57" s="170">
        <v>4070</v>
      </c>
    </row>
    <row r="58" spans="1:7">
      <c r="A58" s="72" t="s">
        <v>147</v>
      </c>
      <c r="B58" s="170">
        <v>0</v>
      </c>
      <c r="C58" s="170">
        <v>1198</v>
      </c>
      <c r="D58" s="138">
        <f t="shared" si="1"/>
        <v>-1</v>
      </c>
      <c r="E58" s="78"/>
      <c r="F58" s="98">
        <v>10000</v>
      </c>
      <c r="G58" s="170">
        <v>11632.86</v>
      </c>
    </row>
    <row r="59" spans="1:7">
      <c r="A59" s="72" t="s">
        <v>148</v>
      </c>
      <c r="B59" s="170">
        <v>0</v>
      </c>
      <c r="C59" s="170">
        <v>3800</v>
      </c>
      <c r="D59" s="138">
        <f t="shared" si="1"/>
        <v>-1</v>
      </c>
      <c r="E59" s="78"/>
      <c r="F59" s="98">
        <v>0</v>
      </c>
      <c r="G59" s="170">
        <v>3800</v>
      </c>
    </row>
    <row r="60" spans="1:7" ht="11" thickBot="1">
      <c r="A60" s="72" t="s">
        <v>149</v>
      </c>
      <c r="B60" s="171">
        <v>22588.23</v>
      </c>
      <c r="C60" s="171">
        <v>9795</v>
      </c>
      <c r="D60" s="139">
        <f t="shared" si="1"/>
        <v>1.3060980091883614</v>
      </c>
      <c r="E60" s="78"/>
      <c r="F60" s="128">
        <v>100000</v>
      </c>
      <c r="G60" s="171">
        <v>136717.79</v>
      </c>
    </row>
    <row r="61" spans="1:7">
      <c r="A61" s="67" t="s">
        <v>150</v>
      </c>
      <c r="B61" s="98">
        <f>ROUND(SUM(B54:B60),5)</f>
        <v>24647.35</v>
      </c>
      <c r="C61" s="98">
        <f>ROUND(SUM(C54:C60),5)</f>
        <v>18184.66</v>
      </c>
      <c r="D61" s="138">
        <f t="shared" si="1"/>
        <v>0.35539240216754114</v>
      </c>
      <c r="E61" s="78"/>
      <c r="F61" s="98">
        <f>SUM(F55:F60)</f>
        <v>125000</v>
      </c>
      <c r="G61" s="98">
        <f>ROUND(SUM(G54:G60),5)</f>
        <v>170129.19</v>
      </c>
    </row>
    <row r="62" spans="1:7" ht="30" customHeight="1">
      <c r="A62" s="67" t="s">
        <v>151</v>
      </c>
      <c r="B62" s="68"/>
      <c r="C62" s="68"/>
      <c r="D62" s="138"/>
      <c r="E62" s="78"/>
      <c r="F62" s="68"/>
      <c r="G62" s="68"/>
    </row>
    <row r="63" spans="1:7">
      <c r="A63" s="72" t="s">
        <v>152</v>
      </c>
      <c r="B63" s="170"/>
      <c r="C63" s="170"/>
      <c r="D63" s="138" t="e">
        <f t="shared" si="1"/>
        <v>#DIV/0!</v>
      </c>
      <c r="E63" s="78"/>
      <c r="F63" s="98">
        <v>2000</v>
      </c>
      <c r="G63" s="170">
        <v>4750</v>
      </c>
    </row>
    <row r="64" spans="1:7">
      <c r="A64" s="72" t="s">
        <v>218</v>
      </c>
      <c r="B64" s="170"/>
      <c r="C64" s="170">
        <v>300</v>
      </c>
      <c r="D64" s="138">
        <f>(B64-C64)/C64</f>
        <v>-1</v>
      </c>
      <c r="E64" s="78"/>
      <c r="F64" s="98">
        <v>5000</v>
      </c>
      <c r="G64" s="170">
        <v>10550</v>
      </c>
    </row>
    <row r="65" spans="1:7">
      <c r="A65" s="72" t="s">
        <v>153</v>
      </c>
      <c r="B65" s="170">
        <v>1300</v>
      </c>
      <c r="C65" s="170">
        <v>2571.66</v>
      </c>
      <c r="D65" s="138">
        <f t="shared" si="1"/>
        <v>-0.49448994034981292</v>
      </c>
      <c r="E65" s="78"/>
      <c r="F65" s="98">
        <v>9000</v>
      </c>
      <c r="G65" s="170">
        <v>11771.66</v>
      </c>
    </row>
    <row r="66" spans="1:7">
      <c r="A66" s="194" t="s">
        <v>240</v>
      </c>
      <c r="B66" s="170"/>
      <c r="C66" s="170"/>
      <c r="D66" s="138" t="e">
        <f>(B66-C66)/C66</f>
        <v>#DIV/0!</v>
      </c>
      <c r="E66" s="78"/>
      <c r="F66" s="167">
        <v>0</v>
      </c>
      <c r="G66" s="170"/>
    </row>
    <row r="67" spans="1:7">
      <c r="A67" s="72" t="s">
        <v>154</v>
      </c>
      <c r="B67" s="170"/>
      <c r="C67" s="170"/>
      <c r="D67" s="138" t="e">
        <f>(B67-C67)/C67</f>
        <v>#DIV/0!</v>
      </c>
      <c r="E67" s="78"/>
      <c r="F67" s="98">
        <v>0</v>
      </c>
      <c r="G67" s="170">
        <v>0</v>
      </c>
    </row>
    <row r="68" spans="1:7" ht="11" thickBot="1">
      <c r="A68" s="72" t="s">
        <v>155</v>
      </c>
      <c r="B68" s="172">
        <v>5877.66</v>
      </c>
      <c r="C68" s="172">
        <v>25545</v>
      </c>
      <c r="D68" s="140">
        <f t="shared" si="1"/>
        <v>-0.76990957134468585</v>
      </c>
      <c r="E68" s="78"/>
      <c r="F68" s="129">
        <v>100000</v>
      </c>
      <c r="G68" s="172">
        <v>157740.32999999999</v>
      </c>
    </row>
    <row r="69" spans="1:7" ht="11" thickBot="1">
      <c r="A69" s="67" t="s">
        <v>156</v>
      </c>
      <c r="B69" s="131">
        <f>ROUND(SUM(B62:B68),5)</f>
        <v>7177.66</v>
      </c>
      <c r="C69" s="131">
        <f>ROUND(SUM(C62:C68),5)</f>
        <v>28416.66</v>
      </c>
      <c r="D69" s="142">
        <f t="shared" si="1"/>
        <v>-0.74741366508238483</v>
      </c>
      <c r="E69" s="78"/>
      <c r="F69" s="131">
        <f>SUM(F63:F68)</f>
        <v>116000</v>
      </c>
      <c r="G69" s="131">
        <f>ROUND(SUM(G62:G68),5)</f>
        <v>184811.99</v>
      </c>
    </row>
    <row r="70" spans="1:7" ht="30" customHeight="1" thickBot="1">
      <c r="A70" s="67" t="s">
        <v>157</v>
      </c>
      <c r="B70" s="131">
        <f>ROUND(B53+B61-B69,5)</f>
        <v>17469.689999999999</v>
      </c>
      <c r="C70" s="131">
        <f>ROUND(C53+C61-C69,5)</f>
        <v>-10232</v>
      </c>
      <c r="D70" s="142">
        <f>(B70-C70)/C70</f>
        <v>-2.707358287724785</v>
      </c>
      <c r="E70" s="78"/>
      <c r="F70" s="131">
        <f>(F61-F69)</f>
        <v>9000</v>
      </c>
      <c r="G70" s="131">
        <f>ROUND(G53+G61-G69,5)</f>
        <v>-14682.8</v>
      </c>
    </row>
    <row r="71" spans="1:7" s="70" customFormat="1" ht="30" customHeight="1" thickBot="1">
      <c r="A71" s="67" t="s">
        <v>158</v>
      </c>
      <c r="B71" s="193">
        <f>ROUND(B52+B70,5)</f>
        <v>-11342.06</v>
      </c>
      <c r="C71" s="193">
        <f>ROUND(C52+C70,5)</f>
        <v>-8552.61</v>
      </c>
      <c r="D71" s="143">
        <f>(B71-C71)/C71</f>
        <v>0.32615189982940868</v>
      </c>
      <c r="F71" s="132">
        <f>(F52+F70)</f>
        <v>10147</v>
      </c>
      <c r="G71" s="132">
        <f>(G52+G70)</f>
        <v>14122.809999999987</v>
      </c>
    </row>
    <row r="72" spans="1:7" ht="11" thickTop="1">
      <c r="E72" s="78"/>
    </row>
  </sheetData>
  <phoneticPr fontId="18" type="noConversion"/>
  <pageMargins left="0.7" right="0.7" top="0.75" bottom="0.75" header="0.3" footer="0.3"/>
  <pageSetup scale="7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C38"/>
  <sheetViews>
    <sheetView view="pageBreakPreview" topLeftCell="A14" zoomScaleSheetLayoutView="100" workbookViewId="0">
      <selection activeCell="C37" sqref="C37"/>
    </sheetView>
  </sheetViews>
  <sheetFormatPr baseColWidth="10" defaultColWidth="8.83203125" defaultRowHeight="10" x14ac:dyDescent="0"/>
  <cols>
    <col min="1" max="1" width="33.5" style="71" bestFit="1" customWidth="1"/>
    <col min="2" max="2" width="11.33203125" style="81" bestFit="1" customWidth="1"/>
    <col min="3" max="3" width="38.33203125" style="78" bestFit="1" customWidth="1"/>
    <col min="4" max="16384" width="8.83203125" style="78"/>
  </cols>
  <sheetData>
    <row r="1" spans="1:3">
      <c r="A1" s="73" t="s">
        <v>202</v>
      </c>
      <c r="B1" s="85" t="s">
        <v>241</v>
      </c>
      <c r="C1" s="85" t="s">
        <v>78</v>
      </c>
    </row>
    <row r="2" spans="1:3" s="90" customFormat="1" ht="11" thickBot="1">
      <c r="A2" s="79" t="s">
        <v>200</v>
      </c>
      <c r="B2" s="66" t="s">
        <v>247</v>
      </c>
    </row>
    <row r="3" spans="1:3" ht="11" thickTop="1">
      <c r="A3" s="67" t="s">
        <v>159</v>
      </c>
      <c r="B3" s="68"/>
    </row>
    <row r="4" spans="1:3">
      <c r="A4" s="72" t="s">
        <v>160</v>
      </c>
      <c r="B4" s="68"/>
    </row>
    <row r="5" spans="1:3">
      <c r="A5" s="72" t="s">
        <v>161</v>
      </c>
      <c r="B5" s="68"/>
    </row>
    <row r="6" spans="1:3">
      <c r="A6" s="72" t="s">
        <v>162</v>
      </c>
      <c r="B6" s="170">
        <v>126845.62</v>
      </c>
    </row>
    <row r="7" spans="1:3">
      <c r="A7" s="72" t="s">
        <v>163</v>
      </c>
      <c r="B7" s="170">
        <v>66239.31</v>
      </c>
    </row>
    <row r="8" spans="1:3" ht="11" thickBot="1">
      <c r="A8" s="72" t="s">
        <v>164</v>
      </c>
      <c r="B8" s="171">
        <v>8354.7900000000009</v>
      </c>
    </row>
    <row r="9" spans="1:3">
      <c r="A9" s="67" t="s">
        <v>165</v>
      </c>
      <c r="B9" s="164">
        <f>ROUND(SUM(B5:B8),5)</f>
        <v>201439.72</v>
      </c>
    </row>
    <row r="10" spans="1:3" ht="30" customHeight="1">
      <c r="A10" s="67" t="s">
        <v>166</v>
      </c>
      <c r="B10" s="68"/>
    </row>
    <row r="11" spans="1:3" ht="11" thickBot="1">
      <c r="A11" s="72" t="s">
        <v>167</v>
      </c>
      <c r="B11" s="171">
        <v>-603</v>
      </c>
    </row>
    <row r="12" spans="1:3" ht="11" thickBot="1">
      <c r="A12" s="67" t="s">
        <v>168</v>
      </c>
      <c r="B12" s="171">
        <v>-603</v>
      </c>
    </row>
    <row r="13" spans="1:3" ht="30" customHeight="1">
      <c r="A13" s="67" t="s">
        <v>169</v>
      </c>
      <c r="B13" s="68"/>
    </row>
    <row r="14" spans="1:3">
      <c r="A14" s="72" t="s">
        <v>170</v>
      </c>
      <c r="B14" s="172">
        <v>1688</v>
      </c>
    </row>
    <row r="15" spans="1:3" ht="11" thickBot="1">
      <c r="A15" s="72" t="s">
        <v>171</v>
      </c>
      <c r="B15" s="129"/>
    </row>
    <row r="16" spans="1:3" ht="11" thickBot="1">
      <c r="A16" s="67" t="s">
        <v>172</v>
      </c>
      <c r="B16" s="165">
        <f>ROUND(SUM(B13:B15),5)</f>
        <v>1688</v>
      </c>
    </row>
    <row r="17" spans="1:2" ht="30" customHeight="1" thickBot="1">
      <c r="A17" s="67" t="s">
        <v>173</v>
      </c>
      <c r="B17" s="131">
        <f>ROUND(B4+B9+B12+B16,5)</f>
        <v>202524.72</v>
      </c>
    </row>
    <row r="18" spans="1:2" s="70" customFormat="1" ht="30" customHeight="1">
      <c r="A18" s="67" t="s">
        <v>174</v>
      </c>
      <c r="B18" s="165">
        <f>ROUND(B5+B10+B13+B17,5)</f>
        <v>202524.72</v>
      </c>
    </row>
    <row r="19" spans="1:2" ht="31.5" customHeight="1">
      <c r="A19" s="67" t="s">
        <v>175</v>
      </c>
      <c r="B19" s="68"/>
    </row>
    <row r="20" spans="1:2">
      <c r="A20" s="67" t="s">
        <v>176</v>
      </c>
      <c r="B20" s="68"/>
    </row>
    <row r="21" spans="1:2">
      <c r="A21" s="67" t="s">
        <v>177</v>
      </c>
      <c r="B21" s="172"/>
    </row>
    <row r="22" spans="1:2">
      <c r="A22" s="67" t="s">
        <v>178</v>
      </c>
      <c r="B22" s="68"/>
    </row>
    <row r="23" spans="1:2" ht="11" thickBot="1">
      <c r="A23" s="72" t="s">
        <v>179</v>
      </c>
      <c r="B23" s="168"/>
    </row>
    <row r="24" spans="1:2" ht="11" thickBot="1">
      <c r="A24" s="67" t="s">
        <v>180</v>
      </c>
      <c r="B24" s="168"/>
    </row>
    <row r="25" spans="1:2" ht="30" customHeight="1">
      <c r="A25" s="67" t="s">
        <v>181</v>
      </c>
      <c r="B25" s="68"/>
    </row>
    <row r="26" spans="1:2">
      <c r="A26" s="72" t="s">
        <v>182</v>
      </c>
      <c r="B26" s="68">
        <v>0</v>
      </c>
    </row>
    <row r="27" spans="1:2">
      <c r="A27" s="72" t="s">
        <v>220</v>
      </c>
      <c r="B27" s="170">
        <v>0</v>
      </c>
    </row>
    <row r="28" spans="1:2" ht="11" thickBot="1">
      <c r="A28" s="72" t="s">
        <v>183</v>
      </c>
      <c r="B28" s="172">
        <v>1070.93</v>
      </c>
    </row>
    <row r="29" spans="1:2" ht="11" thickBot="1">
      <c r="A29" s="67" t="s">
        <v>184</v>
      </c>
      <c r="B29" s="166">
        <f>ROUND(SUM(B26:B28),5)</f>
        <v>1070.93</v>
      </c>
    </row>
    <row r="30" spans="1:2" ht="30" customHeight="1">
      <c r="A30" s="67" t="s">
        <v>185</v>
      </c>
      <c r="B30" s="170">
        <f>ROUND(B25+B29,5)</f>
        <v>1070.93</v>
      </c>
    </row>
    <row r="31" spans="1:2" ht="30" customHeight="1">
      <c r="A31" s="67" t="s">
        <v>186</v>
      </c>
      <c r="B31" s="98">
        <v>1070.93</v>
      </c>
    </row>
    <row r="32" spans="1:2" ht="30" customHeight="1">
      <c r="A32" s="67" t="s">
        <v>187</v>
      </c>
      <c r="B32" s="68"/>
    </row>
    <row r="33" spans="1:2">
      <c r="A33" s="72" t="s">
        <v>188</v>
      </c>
      <c r="B33" s="170">
        <v>-293680.92</v>
      </c>
    </row>
    <row r="34" spans="1:2">
      <c r="A34" s="72" t="s">
        <v>189</v>
      </c>
      <c r="B34" s="170">
        <v>506596.77</v>
      </c>
    </row>
    <row r="35" spans="1:2" ht="11" thickBot="1">
      <c r="A35" s="67" t="s">
        <v>158</v>
      </c>
      <c r="B35" s="172">
        <v>-11342.06</v>
      </c>
    </row>
    <row r="36" spans="1:2" ht="11" thickBot="1">
      <c r="A36" s="67" t="s">
        <v>190</v>
      </c>
      <c r="B36" s="131">
        <f>ROUND(SUM(B32:B35),5)</f>
        <v>201573.79</v>
      </c>
    </row>
    <row r="37" spans="1:2" s="70" customFormat="1" ht="30" customHeight="1" thickBot="1">
      <c r="A37" s="67" t="s">
        <v>191</v>
      </c>
      <c r="B37" s="193">
        <f>ROUND(B24+B31+B36,5)</f>
        <v>202644.72</v>
      </c>
    </row>
    <row r="38" spans="1:2" ht="11" thickTop="1"/>
  </sheetData>
  <phoneticPr fontId="18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C14"/>
  <sheetViews>
    <sheetView view="pageBreakPreview" zoomScaleSheetLayoutView="100" workbookViewId="0">
      <selection activeCell="G4" sqref="G4"/>
    </sheetView>
  </sheetViews>
  <sheetFormatPr baseColWidth="10" defaultColWidth="8.83203125" defaultRowHeight="12" x14ac:dyDescent="0"/>
  <cols>
    <col min="1" max="1" width="34.1640625" style="69" bestFit="1" customWidth="1"/>
    <col min="2" max="2" width="16.6640625" style="69" bestFit="1" customWidth="1"/>
  </cols>
  <sheetData>
    <row r="1" spans="1:3" s="78" customFormat="1" ht="10">
      <c r="A1" s="73" t="s">
        <v>221</v>
      </c>
      <c r="B1" s="85" t="s">
        <v>241</v>
      </c>
      <c r="C1" s="85" t="s">
        <v>78</v>
      </c>
    </row>
    <row r="2" spans="1:3" ht="13" thickBot="1">
      <c r="A2" s="79" t="s">
        <v>200</v>
      </c>
      <c r="B2" s="97" t="s">
        <v>248</v>
      </c>
    </row>
    <row r="3" spans="1:3" ht="13" thickTop="1">
      <c r="A3" s="99" t="s">
        <v>192</v>
      </c>
      <c r="B3" s="98"/>
    </row>
    <row r="4" spans="1:3">
      <c r="A4" s="99" t="s">
        <v>158</v>
      </c>
      <c r="B4" s="170">
        <v>-10197.06</v>
      </c>
    </row>
    <row r="5" spans="1:3">
      <c r="A5" s="99" t="s">
        <v>193</v>
      </c>
      <c r="B5" s="98"/>
    </row>
    <row r="6" spans="1:3">
      <c r="A6" s="99" t="s">
        <v>194</v>
      </c>
      <c r="B6" s="98"/>
    </row>
    <row r="7" spans="1:3">
      <c r="A7" s="100" t="s">
        <v>212</v>
      </c>
      <c r="B7" s="170">
        <v>-477</v>
      </c>
    </row>
    <row r="8" spans="1:3">
      <c r="A8" s="100" t="s">
        <v>213</v>
      </c>
      <c r="B8" s="172">
        <v>-2345</v>
      </c>
    </row>
    <row r="9" spans="1:3">
      <c r="A9" s="99" t="s">
        <v>195</v>
      </c>
      <c r="B9" s="98">
        <f>ROUND(SUM(B3:B4)+SUM(B7:B8),5)</f>
        <v>-13019.06</v>
      </c>
    </row>
    <row r="10" spans="1:3">
      <c r="A10" s="99" t="s">
        <v>196</v>
      </c>
      <c r="B10" s="98"/>
    </row>
    <row r="11" spans="1:3">
      <c r="A11" s="99" t="s">
        <v>197</v>
      </c>
      <c r="B11" s="167">
        <f>ROUND(SUM(B5:B6)+SUM(B9:B10),5)</f>
        <v>-13019.06</v>
      </c>
    </row>
    <row r="12" spans="1:3" ht="13" thickBot="1">
      <c r="A12" s="99" t="s">
        <v>198</v>
      </c>
      <c r="B12" s="169">
        <v>216146.78</v>
      </c>
    </row>
    <row r="13" spans="1:3" ht="13" thickBot="1">
      <c r="A13" s="99" t="s">
        <v>199</v>
      </c>
      <c r="B13" s="132">
        <f>ROUND(SUM(B11:B12),5)</f>
        <v>203127.72</v>
      </c>
    </row>
    <row r="14" spans="1:3" ht="13" thickTop="1"/>
  </sheetData>
  <phoneticPr fontId="18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9"/>
  <sheetViews>
    <sheetView tabSelected="1" view="pageBreakPreview" zoomScale="80" zoomScaleSheetLayoutView="80" workbookViewId="0">
      <selection activeCell="E4" sqref="E4"/>
    </sheetView>
  </sheetViews>
  <sheetFormatPr baseColWidth="10" defaultColWidth="8.83203125" defaultRowHeight="12" x14ac:dyDescent="0"/>
  <cols>
    <col min="1" max="1" width="62.5" style="151" customWidth="1"/>
    <col min="2" max="2" width="16.83203125" style="152" bestFit="1" customWidth="1"/>
    <col min="3" max="3" width="10.33203125" style="153" bestFit="1" customWidth="1"/>
    <col min="4" max="4" width="11.33203125" style="153" bestFit="1" customWidth="1"/>
    <col min="5" max="5" width="32.83203125" style="147" bestFit="1" customWidth="1"/>
    <col min="6" max="16384" width="8.83203125" style="147"/>
  </cols>
  <sheetData>
    <row r="1" spans="1:5">
      <c r="A1" s="144" t="s">
        <v>80</v>
      </c>
      <c r="B1" s="145" t="s">
        <v>211</v>
      </c>
      <c r="C1" s="146" t="s">
        <v>81</v>
      </c>
      <c r="D1" s="146" t="s">
        <v>87</v>
      </c>
      <c r="E1" s="146" t="s">
        <v>78</v>
      </c>
    </row>
    <row r="2" spans="1:5">
      <c r="A2" s="148"/>
      <c r="B2" s="149"/>
      <c r="C2" s="173"/>
      <c r="D2" s="173"/>
      <c r="E2" s="174"/>
    </row>
    <row r="3" spans="1:5" ht="13" thickBot="1">
      <c r="A3" s="150" t="s">
        <v>89</v>
      </c>
      <c r="B3" s="175"/>
      <c r="C3" s="176"/>
      <c r="D3" s="176"/>
      <c r="E3" s="177"/>
    </row>
    <row r="4" spans="1:5">
      <c r="A4" s="190" t="s">
        <v>237</v>
      </c>
      <c r="B4" s="191">
        <v>26700</v>
      </c>
      <c r="C4" s="179">
        <v>2012</v>
      </c>
      <c r="D4" s="179" t="s">
        <v>225</v>
      </c>
      <c r="E4" s="190" t="s">
        <v>244</v>
      </c>
    </row>
    <row r="5" spans="1:5" s="156" customFormat="1">
      <c r="A5" s="178"/>
      <c r="B5" s="178"/>
      <c r="C5" s="179"/>
      <c r="D5" s="179"/>
      <c r="E5" s="178"/>
    </row>
    <row r="6" spans="1:5">
      <c r="A6" s="154" t="s">
        <v>91</v>
      </c>
      <c r="B6" s="155">
        <v>26700</v>
      </c>
      <c r="C6" s="180"/>
      <c r="D6" s="180"/>
      <c r="E6" s="156"/>
    </row>
    <row r="7" spans="1:5">
      <c r="A7" s="148"/>
      <c r="B7" s="149"/>
      <c r="C7" s="173"/>
      <c r="D7" s="173"/>
      <c r="E7" s="174"/>
    </row>
    <row r="8" spans="1:5" ht="13" thickBot="1">
      <c r="A8" s="150" t="s">
        <v>0</v>
      </c>
      <c r="B8" s="175"/>
      <c r="C8" s="176"/>
      <c r="D8" s="176"/>
      <c r="E8" s="177"/>
    </row>
    <row r="9" spans="1:5" s="156" customFormat="1">
      <c r="A9" s="181"/>
      <c r="B9" s="182"/>
      <c r="C9" s="180"/>
      <c r="D9" s="180"/>
      <c r="E9" s="174"/>
    </row>
    <row r="10" spans="1:5">
      <c r="A10" s="154" t="s">
        <v>82</v>
      </c>
      <c r="B10" s="155">
        <f>SUM(B9:B9)</f>
        <v>0</v>
      </c>
      <c r="C10" s="180"/>
      <c r="D10" s="180"/>
      <c r="E10" s="156"/>
    </row>
    <row r="11" spans="1:5">
      <c r="A11" s="154"/>
      <c r="B11" s="155"/>
      <c r="C11" s="180"/>
      <c r="D11" s="180"/>
      <c r="E11" s="156"/>
    </row>
    <row r="12" spans="1:5" s="156" customFormat="1" ht="13" thickBot="1">
      <c r="A12" s="150" t="s">
        <v>92</v>
      </c>
      <c r="B12" s="175"/>
      <c r="C12" s="176"/>
      <c r="D12" s="176"/>
      <c r="E12" s="177"/>
    </row>
    <row r="13" spans="1:5">
      <c r="A13" s="183" t="s">
        <v>93</v>
      </c>
      <c r="B13" s="182">
        <v>40000</v>
      </c>
      <c r="C13" s="179" t="s">
        <v>226</v>
      </c>
      <c r="D13" s="179"/>
      <c r="E13" s="178"/>
    </row>
    <row r="14" spans="1:5">
      <c r="A14" s="154" t="s">
        <v>94</v>
      </c>
      <c r="B14" s="155">
        <f>SUM(B13:B13)</f>
        <v>40000</v>
      </c>
      <c r="C14" s="180"/>
      <c r="D14" s="180"/>
      <c r="E14" s="156"/>
    </row>
    <row r="15" spans="1:5">
      <c r="A15" s="181"/>
      <c r="B15" s="182"/>
      <c r="C15" s="180"/>
      <c r="D15" s="180"/>
      <c r="E15" s="174"/>
    </row>
    <row r="16" spans="1:5" ht="13" thickBot="1">
      <c r="A16" s="150" t="s">
        <v>83</v>
      </c>
      <c r="B16" s="175"/>
      <c r="C16" s="176"/>
      <c r="D16" s="176"/>
      <c r="E16" s="177"/>
    </row>
    <row r="17" spans="1:5">
      <c r="A17" s="181" t="s">
        <v>203</v>
      </c>
      <c r="B17" s="182">
        <v>68000</v>
      </c>
      <c r="C17" s="179">
        <v>2012</v>
      </c>
      <c r="D17" s="180"/>
      <c r="E17" s="174"/>
    </row>
    <row r="18" spans="1:5">
      <c r="A18" s="174" t="s">
        <v>204</v>
      </c>
      <c r="B18" s="174">
        <v>33000</v>
      </c>
      <c r="C18" s="179">
        <v>2012</v>
      </c>
      <c r="D18" s="192" t="s">
        <v>225</v>
      </c>
      <c r="E18" s="174"/>
    </row>
    <row r="19" spans="1:5" s="156" customFormat="1">
      <c r="A19" s="174" t="s">
        <v>205</v>
      </c>
      <c r="B19" s="174">
        <v>15000</v>
      </c>
      <c r="C19" s="179">
        <v>2012</v>
      </c>
      <c r="D19" s="180"/>
      <c r="E19" s="174"/>
    </row>
    <row r="20" spans="1:5" s="156" customFormat="1" ht="13.5" customHeight="1">
      <c r="A20" s="174" t="s">
        <v>227</v>
      </c>
      <c r="B20" s="174">
        <v>10000</v>
      </c>
      <c r="C20" s="179">
        <v>2012</v>
      </c>
      <c r="D20" s="180"/>
      <c r="E20" s="174"/>
    </row>
    <row r="21" spans="1:5" s="156" customFormat="1">
      <c r="A21" s="174" t="s">
        <v>228</v>
      </c>
      <c r="B21" s="174">
        <v>25000</v>
      </c>
      <c r="C21" s="179">
        <v>2012</v>
      </c>
      <c r="D21" s="180"/>
      <c r="E21" s="174"/>
    </row>
    <row r="22" spans="1:5">
      <c r="A22" s="174" t="s">
        <v>229</v>
      </c>
      <c r="B22" s="174">
        <v>15000</v>
      </c>
      <c r="C22" s="179">
        <v>2012</v>
      </c>
      <c r="D22" s="180"/>
      <c r="E22" s="174"/>
    </row>
    <row r="23" spans="1:5">
      <c r="A23" s="178" t="s">
        <v>230</v>
      </c>
      <c r="B23" s="178">
        <v>65000</v>
      </c>
      <c r="C23" s="179">
        <v>2012</v>
      </c>
      <c r="D23" s="179"/>
      <c r="E23" s="178"/>
    </row>
    <row r="24" spans="1:5">
      <c r="A24" s="184" t="s">
        <v>231</v>
      </c>
      <c r="B24" s="182">
        <v>55000</v>
      </c>
      <c r="C24" s="180">
        <v>2012</v>
      </c>
      <c r="D24" s="180"/>
      <c r="E24" s="184"/>
    </row>
    <row r="25" spans="1:5" ht="12.75" customHeight="1">
      <c r="A25" s="154" t="s">
        <v>84</v>
      </c>
      <c r="B25" s="155">
        <f>SUM(B17:B24)</f>
        <v>286000</v>
      </c>
      <c r="C25" s="157"/>
      <c r="D25" s="157"/>
      <c r="E25" s="156"/>
    </row>
    <row r="26" spans="1:5">
      <c r="A26" s="154"/>
      <c r="B26" s="155"/>
      <c r="C26" s="157"/>
      <c r="D26" s="157"/>
      <c r="E26" s="156"/>
    </row>
    <row r="27" spans="1:5" s="156" customFormat="1" ht="13" thickBot="1">
      <c r="A27" s="150" t="s">
        <v>232</v>
      </c>
      <c r="B27" s="158" t="s">
        <v>19</v>
      </c>
      <c r="C27" s="176"/>
      <c r="D27" s="176"/>
      <c r="E27" s="159"/>
    </row>
    <row r="28" spans="1:5" s="156" customFormat="1">
      <c r="A28" s="185" t="s">
        <v>233</v>
      </c>
      <c r="B28" s="182">
        <v>300000</v>
      </c>
      <c r="C28" s="179" t="s">
        <v>226</v>
      </c>
      <c r="D28" s="180"/>
      <c r="E28" s="184" t="s">
        <v>234</v>
      </c>
    </row>
    <row r="29" spans="1:5">
      <c r="A29" s="185" t="s">
        <v>95</v>
      </c>
      <c r="B29" s="182">
        <v>0</v>
      </c>
      <c r="C29" s="179" t="s">
        <v>226</v>
      </c>
      <c r="D29" s="180"/>
      <c r="E29" s="174"/>
    </row>
    <row r="30" spans="1:5">
      <c r="A30" s="154" t="s">
        <v>86</v>
      </c>
      <c r="B30" s="155">
        <f>SUM(B28:B29)</f>
        <v>300000</v>
      </c>
      <c r="C30" s="157"/>
      <c r="D30" s="157"/>
      <c r="E30" s="156"/>
    </row>
    <row r="31" spans="1:5">
      <c r="A31" s="154"/>
      <c r="B31" s="155"/>
      <c r="C31" s="157"/>
      <c r="D31" s="157"/>
      <c r="E31" s="156"/>
    </row>
    <row r="32" spans="1:5">
      <c r="A32" s="160" t="s">
        <v>210</v>
      </c>
      <c r="B32" s="161"/>
      <c r="C32" s="162"/>
      <c r="D32" s="162"/>
      <c r="E32" s="163"/>
    </row>
    <row r="33" spans="1:5">
      <c r="A33" s="181"/>
      <c r="B33" s="182"/>
      <c r="C33" s="180"/>
      <c r="D33" s="180"/>
      <c r="E33" s="174"/>
    </row>
    <row r="34" spans="1:5" ht="13" thickBot="1">
      <c r="A34" s="150" t="s">
        <v>85</v>
      </c>
      <c r="B34" s="158" t="s">
        <v>19</v>
      </c>
      <c r="C34" s="176"/>
      <c r="D34" s="176"/>
      <c r="E34" s="159"/>
    </row>
    <row r="35" spans="1:5">
      <c r="A35" s="186" t="s">
        <v>208</v>
      </c>
      <c r="B35" s="187">
        <v>7880</v>
      </c>
      <c r="C35" s="188">
        <v>2011</v>
      </c>
      <c r="D35" s="188" t="s">
        <v>88</v>
      </c>
      <c r="E35" s="189"/>
    </row>
    <row r="36" spans="1:5">
      <c r="A36" s="181"/>
      <c r="B36" s="182"/>
      <c r="C36" s="180"/>
      <c r="D36" s="180"/>
      <c r="E36" s="174"/>
    </row>
    <row r="37" spans="1:5" ht="13" thickBot="1">
      <c r="A37" s="150" t="s">
        <v>83</v>
      </c>
      <c r="B37" s="175"/>
      <c r="C37" s="176"/>
      <c r="D37" s="176"/>
      <c r="E37" s="177"/>
    </row>
    <row r="38" spans="1:5">
      <c r="A38" s="174" t="s">
        <v>206</v>
      </c>
      <c r="B38" s="174">
        <v>4100</v>
      </c>
      <c r="C38" s="180">
        <v>2011</v>
      </c>
      <c r="D38" s="180" t="s">
        <v>88</v>
      </c>
      <c r="E38" s="174"/>
    </row>
    <row r="39" spans="1:5">
      <c r="A39" s="174" t="s">
        <v>235</v>
      </c>
      <c r="B39" s="174">
        <v>35605</v>
      </c>
      <c r="C39" s="180">
        <v>2011</v>
      </c>
      <c r="D39" s="180" t="s">
        <v>88</v>
      </c>
      <c r="E39" s="174"/>
    </row>
    <row r="40" spans="1:5">
      <c r="A40" s="174" t="s">
        <v>236</v>
      </c>
      <c r="B40" s="174"/>
      <c r="C40" s="180">
        <v>2012</v>
      </c>
      <c r="D40" s="180" t="s">
        <v>88</v>
      </c>
      <c r="E40" s="174"/>
    </row>
    <row r="41" spans="1:5" ht="13" thickBot="1">
      <c r="A41" s="150" t="s">
        <v>92</v>
      </c>
      <c r="B41" s="175"/>
      <c r="C41" s="176"/>
      <c r="D41" s="176"/>
      <c r="E41" s="177"/>
    </row>
    <row r="42" spans="1:5">
      <c r="A42" s="181"/>
      <c r="B42" s="182"/>
      <c r="C42" s="180"/>
      <c r="D42" s="180"/>
      <c r="E42" s="174"/>
    </row>
    <row r="43" spans="1:5" ht="13" thickBot="1">
      <c r="A43" s="150" t="s">
        <v>0</v>
      </c>
      <c r="B43" s="175"/>
      <c r="C43" s="176"/>
      <c r="D43" s="176"/>
      <c r="E43" s="177"/>
    </row>
    <row r="44" spans="1:5">
      <c r="A44" s="154"/>
      <c r="B44" s="155"/>
      <c r="C44" s="180"/>
      <c r="D44" s="180"/>
      <c r="E44" s="156"/>
    </row>
    <row r="45" spans="1:5" ht="13" thickBot="1">
      <c r="A45" s="150" t="s">
        <v>89</v>
      </c>
      <c r="B45" s="175"/>
      <c r="C45" s="176"/>
      <c r="D45" s="177"/>
      <c r="E45" s="177"/>
    </row>
    <row r="46" spans="1:5">
      <c r="A46" s="174" t="s">
        <v>207</v>
      </c>
      <c r="B46" s="174">
        <v>0</v>
      </c>
      <c r="C46" s="180">
        <v>2011</v>
      </c>
      <c r="D46" s="180" t="s">
        <v>88</v>
      </c>
      <c r="E46" s="174"/>
    </row>
    <row r="47" spans="1:5">
      <c r="A47" s="181" t="s">
        <v>90</v>
      </c>
      <c r="B47" s="182">
        <v>10763</v>
      </c>
      <c r="C47" s="180" t="s">
        <v>209</v>
      </c>
      <c r="D47" s="180" t="s">
        <v>88</v>
      </c>
      <c r="E47" s="174"/>
    </row>
    <row r="48" spans="1:5">
      <c r="A48" s="185" t="s">
        <v>238</v>
      </c>
      <c r="B48" s="152">
        <v>13000</v>
      </c>
      <c r="C48" s="153">
        <v>2012</v>
      </c>
      <c r="D48" s="192" t="s">
        <v>88</v>
      </c>
    </row>
    <row r="49" spans="1:4">
      <c r="A49" s="185" t="s">
        <v>239</v>
      </c>
      <c r="B49" s="152">
        <v>18200</v>
      </c>
      <c r="C49" s="153">
        <v>2012</v>
      </c>
      <c r="D49" s="192" t="s">
        <v>88</v>
      </c>
    </row>
  </sheetData>
  <phoneticPr fontId="10" type="noConversion"/>
  <conditionalFormatting sqref="C48:D65531 C1:E1 C2:D8 C9">
    <cfRule type="cellIs" dxfId="3" priority="5" stopIfTrue="1" operator="equal">
      <formula>"Medium"</formula>
    </cfRule>
    <cfRule type="cellIs" dxfId="2" priority="6" stopIfTrue="1" operator="equal">
      <formula>"High"</formula>
    </cfRule>
  </conditionalFormatting>
  <conditionalFormatting sqref="D42:D44 C42:C45 C46:D47 C10:D11 C13:D40">
    <cfRule type="cellIs" dxfId="1" priority="1" stopIfTrue="1" operator="equal">
      <formula>"Medium"</formula>
    </cfRule>
    <cfRule type="cellIs" dxfId="0" priority="2" stopIfTrue="1" operator="equal">
      <formula>"High"</formula>
    </cfRule>
  </conditionalFormatting>
  <pageMargins left="0.7" right="0.7" top="0.75" bottom="0.75" header="0.3" footer="0.3"/>
  <pageSetup scale="6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8"/>
  <sheetViews>
    <sheetView view="pageBreakPreview" zoomScale="60" zoomScaleNormal="60" zoomScalePageLayoutView="6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R31" sqref="R31:R32"/>
    </sheetView>
  </sheetViews>
  <sheetFormatPr baseColWidth="10" defaultColWidth="8.83203125" defaultRowHeight="13" x14ac:dyDescent="0"/>
  <cols>
    <col min="1" max="1" width="8.5" style="2" customWidth="1"/>
    <col min="2" max="2" width="61.83203125" style="2" bestFit="1" customWidth="1"/>
    <col min="3" max="3" width="2.33203125" style="3" customWidth="1"/>
    <col min="4" max="4" width="14.1640625" style="35" bestFit="1" customWidth="1"/>
    <col min="5" max="5" width="7.33203125" style="109" bestFit="1" customWidth="1"/>
    <col min="6" max="6" width="2.33203125" style="5" customWidth="1"/>
    <col min="7" max="7" width="14.5" style="35" customWidth="1"/>
    <col min="8" max="8" width="7.33203125" style="109" bestFit="1" customWidth="1"/>
    <col min="9" max="9" width="2.33203125" style="5" customWidth="1"/>
    <col min="10" max="10" width="14" style="35" bestFit="1" customWidth="1"/>
    <col min="11" max="11" width="7.33203125" style="36" bestFit="1" customWidth="1"/>
    <col min="12" max="12" width="2.33203125" style="5" customWidth="1"/>
    <col min="13" max="13" width="14.5" style="110" bestFit="1" customWidth="1"/>
    <col min="14" max="14" width="7.33203125" style="36" bestFit="1" customWidth="1"/>
    <col min="15" max="15" width="2.33203125" style="5" customWidth="1"/>
    <col min="16" max="16" width="14.5" style="110" customWidth="1"/>
    <col min="17" max="17" width="7.33203125" style="36" bestFit="1" customWidth="1"/>
    <col min="18" max="18" width="2.33203125" style="5" customWidth="1"/>
    <col min="19" max="19" width="14.1640625" style="110" bestFit="1" customWidth="1"/>
    <col min="20" max="20" width="7.33203125" style="36" bestFit="1" customWidth="1"/>
    <col min="21" max="21" width="2.33203125" style="5" customWidth="1"/>
    <col min="22" max="22" width="14.5" style="110" bestFit="1" customWidth="1"/>
    <col min="23" max="23" width="22" style="111" bestFit="1" customWidth="1"/>
    <col min="24" max="24" width="2.33203125" style="5" customWidth="1"/>
    <col min="25" max="25" width="14.5" style="110" bestFit="1" customWidth="1"/>
    <col min="26" max="26" width="13" style="111" bestFit="1" customWidth="1"/>
    <col min="27" max="16384" width="8.83203125" style="2"/>
  </cols>
  <sheetData>
    <row r="1" spans="1:26" s="61" customFormat="1" ht="26">
      <c r="D1" s="62" t="s">
        <v>74</v>
      </c>
      <c r="E1" s="101" t="s">
        <v>72</v>
      </c>
      <c r="F1" s="63"/>
      <c r="G1" s="62" t="s">
        <v>73</v>
      </c>
      <c r="H1" s="101" t="s">
        <v>72</v>
      </c>
      <c r="I1" s="63"/>
      <c r="J1" s="62" t="s">
        <v>75</v>
      </c>
      <c r="K1" s="64" t="s">
        <v>72</v>
      </c>
      <c r="L1" s="63"/>
      <c r="M1" s="102" t="s">
        <v>214</v>
      </c>
      <c r="N1" s="64" t="s">
        <v>72</v>
      </c>
      <c r="O1" s="63"/>
      <c r="P1" s="102" t="s">
        <v>102</v>
      </c>
      <c r="Q1" s="64" t="s">
        <v>72</v>
      </c>
      <c r="R1" s="63"/>
      <c r="S1" s="102" t="s">
        <v>215</v>
      </c>
      <c r="T1" s="64" t="s">
        <v>72</v>
      </c>
      <c r="U1" s="63"/>
      <c r="V1" s="103" t="s">
        <v>216</v>
      </c>
      <c r="W1" s="104" t="s">
        <v>217</v>
      </c>
      <c r="X1" s="63"/>
      <c r="Y1" s="103" t="s">
        <v>103</v>
      </c>
      <c r="Z1" s="104" t="s">
        <v>104</v>
      </c>
    </row>
    <row r="2" spans="1:26" s="24" customFormat="1" ht="14">
      <c r="C2" s="31"/>
      <c r="D2" s="32"/>
      <c r="E2" s="105"/>
      <c r="F2" s="33"/>
      <c r="G2" s="32"/>
      <c r="H2" s="105"/>
      <c r="I2" s="33"/>
      <c r="J2" s="32"/>
      <c r="K2" s="34"/>
      <c r="L2" s="33"/>
      <c r="M2" s="106"/>
      <c r="N2" s="34"/>
      <c r="O2" s="33"/>
      <c r="P2" s="106"/>
      <c r="Q2" s="34"/>
      <c r="R2" s="33"/>
      <c r="S2" s="106"/>
      <c r="T2" s="34"/>
      <c r="U2" s="33"/>
      <c r="V2" s="107"/>
      <c r="W2" s="108"/>
      <c r="X2" s="33"/>
      <c r="Y2" s="107"/>
      <c r="Z2" s="108"/>
    </row>
    <row r="3" spans="1:26">
      <c r="A3" s="14" t="s">
        <v>71</v>
      </c>
    </row>
    <row r="5" spans="1:26">
      <c r="A5" s="1">
        <v>3000</v>
      </c>
      <c r="B5" s="12" t="s">
        <v>1</v>
      </c>
      <c r="D5" s="35">
        <v>369446.55</v>
      </c>
      <c r="E5" s="109">
        <f t="shared" ref="E5:E18" si="0">D5/$D$20</f>
        <v>0.64076413514687325</v>
      </c>
      <c r="G5" s="35">
        <v>411185.19</v>
      </c>
      <c r="H5" s="109">
        <f t="shared" ref="H5:H18" si="1">G5/$G$20</f>
        <v>0.69692490133208307</v>
      </c>
      <c r="J5" s="35">
        <f>IF(ISERROR(VLOOKUP(A5,'[1]FY2009 Actual'!$C$8:$L$54,10, FALSE)),0,VLOOKUP(A5,'[1]FY2009 Actual'!$C$8:$L$54,10, FALSE))</f>
        <v>0</v>
      </c>
      <c r="K5" s="36" t="e">
        <f>J5/$J$20</f>
        <v>#DIV/0!</v>
      </c>
      <c r="M5" s="110">
        <f>IF(ISERROR(VLOOKUP(A5,'[1]FY2010 Actual'!$C$8:$L$54,10, FALSE)),0,VLOOKUP(A5,'[1]FY2010 Actual'!$C$8:$L$54,10, FALSE))</f>
        <v>0</v>
      </c>
      <c r="N5" s="36" t="e">
        <f t="shared" ref="N5:N12" si="2">M5/$M$20</f>
        <v>#DIV/0!</v>
      </c>
      <c r="P5" s="110">
        <f>IF(ISERROR(VLOOKUP(A5,'[1]FY2011 Budget'!$C$8:$L$54,10, FALSE)),0,VLOOKUP(A5,'[1]FY2011 Budget'!$C$8:$L$54,10, FALSE))</f>
        <v>0</v>
      </c>
      <c r="Q5" s="36" t="e">
        <f>P5/$P$20</f>
        <v>#DIV/0!</v>
      </c>
      <c r="S5" s="110">
        <f>IF(ISERROR(VLOOKUP(A5,'[1]FY2012 Budget'!$C$8:$L$54,10, FALSE)),0,VLOOKUP(A5,'[1]FY2012 Budget'!$C$8:$L$54,10, FALSE))</f>
        <v>0</v>
      </c>
      <c r="T5" s="36" t="e">
        <f>S5/$P$20</f>
        <v>#DIV/0!</v>
      </c>
      <c r="V5" s="110">
        <f>S5-P5</f>
        <v>0</v>
      </c>
      <c r="W5" s="111" t="e">
        <f>(S5-P5)/P5</f>
        <v>#DIV/0!</v>
      </c>
      <c r="Y5" s="110">
        <f t="shared" ref="Y5:Y17" si="3">P5-M5</f>
        <v>0</v>
      </c>
      <c r="Z5" s="111" t="e">
        <f t="shared" ref="Z5:Z15" si="4">(P5-M5)/M5</f>
        <v>#DIV/0!</v>
      </c>
    </row>
    <row r="6" spans="1:26">
      <c r="A6" s="1">
        <v>3020</v>
      </c>
      <c r="B6" s="12" t="s">
        <v>2</v>
      </c>
      <c r="D6" s="35">
        <v>36477.089999999997</v>
      </c>
      <c r="E6" s="109">
        <f t="shared" si="0"/>
        <v>6.326547379187776E-2</v>
      </c>
      <c r="G6" s="35">
        <v>39083.75</v>
      </c>
      <c r="H6" s="109">
        <f t="shared" si="1"/>
        <v>6.6243724907596502E-2</v>
      </c>
      <c r="J6" s="35">
        <f>IF(ISERROR(VLOOKUP(A6,'[1]FY2009 Actual'!$C$8:$L$54,10, FALSE)),0,VLOOKUP(A6,'[1]FY2009 Actual'!$C$8:$L$54,10, FALSE))</f>
        <v>0</v>
      </c>
      <c r="K6" s="36" t="e">
        <f t="shared" ref="K6:K18" si="5">J6/$J$20</f>
        <v>#DIV/0!</v>
      </c>
      <c r="M6" s="110">
        <f>IF(ISERROR(VLOOKUP(A6,'[1]FY2010 Actual'!$C$8:$L$54,10, FALSE)),0,VLOOKUP(A6,'[1]FY2010 Actual'!$C$8:$L$54,10, FALSE))</f>
        <v>0</v>
      </c>
      <c r="N6" s="36" t="e">
        <f t="shared" si="2"/>
        <v>#DIV/0!</v>
      </c>
      <c r="P6" s="110">
        <f>IF(ISERROR(VLOOKUP(A6,'[1]FY2011 Budget'!$C$8:$L$54,10, FALSE)),0,VLOOKUP(A6,'[1]FY2011 Budget'!$C$8:$L$54,10, FALSE))</f>
        <v>0</v>
      </c>
      <c r="Q6" s="36" t="e">
        <f t="shared" ref="Q6:Q18" si="6">P6/$P$20</f>
        <v>#DIV/0!</v>
      </c>
      <c r="S6" s="110">
        <f>IF(ISERROR(VLOOKUP(A6,'[1]FY2012 Budget'!$C$8:$L$54,10, FALSE)),0,VLOOKUP(A6,'[1]FY2012 Budget'!$C$8:$L$54,10, FALSE))</f>
        <v>0</v>
      </c>
      <c r="T6" s="36" t="e">
        <f t="shared" ref="T6:T18" si="7">S6/$P$20</f>
        <v>#DIV/0!</v>
      </c>
      <c r="V6" s="110">
        <f t="shared" ref="V6:V18" si="8">S6-P6</f>
        <v>0</v>
      </c>
      <c r="W6" s="111" t="e">
        <f t="shared" ref="W6:W18" si="9">(S6-P6)/P6</f>
        <v>#DIV/0!</v>
      </c>
      <c r="Y6" s="110">
        <f t="shared" si="3"/>
        <v>0</v>
      </c>
      <c r="Z6" s="111" t="e">
        <f t="shared" si="4"/>
        <v>#DIV/0!</v>
      </c>
    </row>
    <row r="7" spans="1:26">
      <c r="A7" s="1">
        <v>3030</v>
      </c>
      <c r="B7" s="12" t="s">
        <v>3</v>
      </c>
      <c r="D7" s="35">
        <v>36085.1</v>
      </c>
      <c r="E7" s="109">
        <f t="shared" si="0"/>
        <v>6.2585610538759759E-2</v>
      </c>
      <c r="G7" s="35">
        <v>25938.17</v>
      </c>
      <c r="H7" s="109">
        <f t="shared" si="1"/>
        <v>4.3963053649828186E-2</v>
      </c>
      <c r="J7" s="35">
        <f>IF(ISERROR(VLOOKUP(A7,'[1]FY2009 Actual'!$C$8:$L$54,10, FALSE)),0,VLOOKUP(A7,'[1]FY2009 Actual'!$C$8:$L$54,10, FALSE))</f>
        <v>0</v>
      </c>
      <c r="K7" s="36" t="e">
        <f t="shared" si="5"/>
        <v>#DIV/0!</v>
      </c>
      <c r="M7" s="110">
        <f>IF(ISERROR(VLOOKUP(A7,'[1]FY2010 Actual'!$C$8:$L$54,10, FALSE)),0,VLOOKUP(A7,'[1]FY2010 Actual'!$C$8:$L$54,10, FALSE))</f>
        <v>0</v>
      </c>
      <c r="N7" s="36" t="e">
        <f t="shared" si="2"/>
        <v>#DIV/0!</v>
      </c>
      <c r="P7" s="110">
        <f>IF(ISERROR(VLOOKUP(A7,'[1]FY2011 Budget'!$C$8:$L$54,10, FALSE)),0,VLOOKUP(A7,'[1]FY2011 Budget'!$C$8:$L$54,10, FALSE))</f>
        <v>0</v>
      </c>
      <c r="Q7" s="36" t="e">
        <f t="shared" si="6"/>
        <v>#DIV/0!</v>
      </c>
      <c r="S7" s="110">
        <f>IF(ISERROR(VLOOKUP(A7,'[1]FY2012 Budget'!$C$8:$L$54,10, FALSE)),0,VLOOKUP(A7,'[1]FY2012 Budget'!$C$8:$L$54,10, FALSE))</f>
        <v>0</v>
      </c>
      <c r="T7" s="36" t="e">
        <f t="shared" si="7"/>
        <v>#DIV/0!</v>
      </c>
      <c r="V7" s="110">
        <f t="shared" si="8"/>
        <v>0</v>
      </c>
      <c r="W7" s="111" t="e">
        <f t="shared" si="9"/>
        <v>#DIV/0!</v>
      </c>
      <c r="Y7" s="110">
        <f t="shared" si="3"/>
        <v>0</v>
      </c>
      <c r="Z7" s="111" t="e">
        <f t="shared" si="4"/>
        <v>#DIV/0!</v>
      </c>
    </row>
    <row r="8" spans="1:26">
      <c r="A8" s="1">
        <v>3040</v>
      </c>
      <c r="B8" s="12" t="s">
        <v>21</v>
      </c>
      <c r="D8" s="35">
        <v>10503.26</v>
      </c>
      <c r="E8" s="109">
        <f t="shared" si="0"/>
        <v>1.8216741528978272E-2</v>
      </c>
      <c r="G8" s="35">
        <v>8483.69</v>
      </c>
      <c r="H8" s="109">
        <f t="shared" si="1"/>
        <v>1.4379153140661462E-2</v>
      </c>
      <c r="J8" s="35">
        <f>IF(ISERROR(VLOOKUP(A8,'[1]FY2009 Actual'!$C$8:$L$54,10, FALSE)),0,VLOOKUP(A8,'[1]FY2009 Actual'!$C$8:$L$54,10, FALSE))</f>
        <v>0</v>
      </c>
      <c r="K8" s="36" t="e">
        <f t="shared" si="5"/>
        <v>#DIV/0!</v>
      </c>
      <c r="M8" s="110">
        <f>IF(ISERROR(VLOOKUP(A8,'[1]FY2010 Actual'!$C$8:$L$54,10, FALSE)),0,VLOOKUP(A8,'[1]FY2010 Actual'!$C$8:$L$54,10, FALSE))</f>
        <v>0</v>
      </c>
      <c r="N8" s="36" t="e">
        <f t="shared" si="2"/>
        <v>#DIV/0!</v>
      </c>
      <c r="P8" s="110">
        <f>IF(ISERROR(VLOOKUP(A8,'[1]FY2011 Budget'!$C$8:$L$54,10, FALSE)),0,VLOOKUP(A8,'[1]FY2011 Budget'!$C$8:$L$54,10, FALSE))</f>
        <v>0</v>
      </c>
      <c r="Q8" s="36" t="e">
        <f t="shared" si="6"/>
        <v>#DIV/0!</v>
      </c>
      <c r="S8" s="110">
        <f>IF(ISERROR(VLOOKUP(A8,'[1]FY2012 Budget'!$C$8:$L$54,10, FALSE)),0,VLOOKUP(A8,'[1]FY2012 Budget'!$C$8:$L$54,10, FALSE))</f>
        <v>0</v>
      </c>
      <c r="T8" s="36" t="e">
        <f t="shared" si="7"/>
        <v>#DIV/0!</v>
      </c>
      <c r="V8" s="110">
        <f t="shared" si="8"/>
        <v>0</v>
      </c>
      <c r="W8" s="111" t="e">
        <f t="shared" si="9"/>
        <v>#DIV/0!</v>
      </c>
      <c r="Y8" s="110">
        <f t="shared" si="3"/>
        <v>0</v>
      </c>
      <c r="Z8" s="111" t="e">
        <f t="shared" si="4"/>
        <v>#DIV/0!</v>
      </c>
    </row>
    <row r="9" spans="1:26">
      <c r="A9" s="15">
        <v>3100</v>
      </c>
      <c r="B9" s="12" t="s">
        <v>4</v>
      </c>
      <c r="D9" s="35">
        <v>17241.5</v>
      </c>
      <c r="E9" s="109">
        <f t="shared" si="0"/>
        <v>2.9903472738166903E-2</v>
      </c>
      <c r="G9" s="35">
        <v>15339.25</v>
      </c>
      <c r="H9" s="109">
        <f t="shared" si="1"/>
        <v>2.5998760540860325E-2</v>
      </c>
      <c r="J9" s="35">
        <f>IF(ISERROR(VLOOKUP(A9,'[1]FY2009 Actual'!$C$8:$L$54,10, FALSE)),0,VLOOKUP(A9,'[1]FY2009 Actual'!$C$8:$L$54,10, FALSE))</f>
        <v>0</v>
      </c>
      <c r="K9" s="36" t="e">
        <f t="shared" si="5"/>
        <v>#DIV/0!</v>
      </c>
      <c r="M9" s="110">
        <f>IF(ISERROR(VLOOKUP(A9,'[1]FY2010 Actual'!$C$8:$L$54,10, FALSE)),0,VLOOKUP(A9,'[1]FY2010 Actual'!$C$8:$L$54,10, FALSE))</f>
        <v>0</v>
      </c>
      <c r="N9" s="36" t="e">
        <f t="shared" si="2"/>
        <v>#DIV/0!</v>
      </c>
      <c r="P9" s="110">
        <f>IF(ISERROR(VLOOKUP(A9,'[1]FY2011 Budget'!$C$8:$L$54,10, FALSE)),0,VLOOKUP(A9,'[1]FY2011 Budget'!$C$8:$L$54,10, FALSE))</f>
        <v>0</v>
      </c>
      <c r="Q9" s="36" t="e">
        <f t="shared" si="6"/>
        <v>#DIV/0!</v>
      </c>
      <c r="S9" s="110">
        <f>IF(ISERROR(VLOOKUP(A9,'[1]FY2012 Budget'!$C$8:$L$54,10, FALSE)),0,VLOOKUP(A9,'[1]FY2012 Budget'!$C$8:$L$54,10, FALSE))</f>
        <v>0</v>
      </c>
      <c r="T9" s="36" t="e">
        <f t="shared" si="7"/>
        <v>#DIV/0!</v>
      </c>
      <c r="V9" s="110">
        <f t="shared" si="8"/>
        <v>0</v>
      </c>
      <c r="W9" s="111" t="e">
        <f t="shared" si="9"/>
        <v>#DIV/0!</v>
      </c>
      <c r="Y9" s="110">
        <f t="shared" si="3"/>
        <v>0</v>
      </c>
      <c r="Z9" s="111" t="e">
        <f t="shared" si="4"/>
        <v>#DIV/0!</v>
      </c>
    </row>
    <row r="10" spans="1:26">
      <c r="A10" s="15">
        <v>3110</v>
      </c>
      <c r="B10" s="12" t="s">
        <v>5</v>
      </c>
      <c r="D10" s="35">
        <v>1045</v>
      </c>
      <c r="E10" s="109">
        <f t="shared" si="0"/>
        <v>1.8124367956027267E-3</v>
      </c>
      <c r="G10" s="35">
        <v>1015</v>
      </c>
      <c r="H10" s="109">
        <f t="shared" si="1"/>
        <v>1.7203410824501348E-3</v>
      </c>
      <c r="J10" s="35">
        <f>IF(ISERROR(VLOOKUP(A10,'[1]FY2009 Actual'!$C$8:$L$54,10, FALSE)),0,VLOOKUP(A10,'[1]FY2009 Actual'!$C$8:$L$54,10, FALSE))</f>
        <v>0</v>
      </c>
      <c r="K10" s="36" t="e">
        <f t="shared" si="5"/>
        <v>#DIV/0!</v>
      </c>
      <c r="M10" s="110">
        <f>IF(ISERROR(VLOOKUP(A10,'[1]FY2010 Actual'!$C$8:$L$54,10, FALSE)),0,VLOOKUP(A10,'[1]FY2010 Actual'!$C$8:$L$54,10, FALSE))</f>
        <v>0</v>
      </c>
      <c r="N10" s="36" t="e">
        <f t="shared" si="2"/>
        <v>#DIV/0!</v>
      </c>
      <c r="P10" s="110">
        <f>IF(ISERROR(VLOOKUP(A10,'[1]FY2011 Budget'!$C$8:$L$54,10, FALSE)),0,VLOOKUP(A10,'[1]FY2011 Budget'!$C$8:$L$54,10, FALSE))</f>
        <v>0</v>
      </c>
      <c r="Q10" s="36" t="e">
        <f t="shared" si="6"/>
        <v>#DIV/0!</v>
      </c>
      <c r="S10" s="110">
        <f>IF(ISERROR(VLOOKUP(A10,'[1]FY2012 Budget'!$C$8:$L$54,10, FALSE)),0,VLOOKUP(A10,'[1]FY2012 Budget'!$C$8:$L$54,10, FALSE))</f>
        <v>0</v>
      </c>
      <c r="T10" s="36" t="e">
        <f t="shared" si="7"/>
        <v>#DIV/0!</v>
      </c>
      <c r="V10" s="110">
        <f t="shared" si="8"/>
        <v>0</v>
      </c>
      <c r="W10" s="111" t="e">
        <f t="shared" si="9"/>
        <v>#DIV/0!</v>
      </c>
      <c r="Y10" s="110">
        <f t="shared" si="3"/>
        <v>0</v>
      </c>
      <c r="Z10" s="111" t="e">
        <f t="shared" si="4"/>
        <v>#DIV/0!</v>
      </c>
    </row>
    <row r="11" spans="1:26">
      <c r="A11" s="15">
        <v>3200</v>
      </c>
      <c r="B11" s="12" t="s">
        <v>6</v>
      </c>
      <c r="D11" s="35">
        <v>0</v>
      </c>
      <c r="E11" s="109">
        <f t="shared" si="0"/>
        <v>0</v>
      </c>
      <c r="G11" s="35">
        <v>0</v>
      </c>
      <c r="H11" s="109">
        <f t="shared" si="1"/>
        <v>0</v>
      </c>
      <c r="J11" s="35">
        <f>IF(ISERROR(VLOOKUP(A11,'[1]FY2009 Actual'!$C$8:$L$54,10, FALSE)),0,VLOOKUP(A11,'[1]FY2009 Actual'!$C$8:$L$54,10, FALSE))</f>
        <v>0</v>
      </c>
      <c r="K11" s="36" t="e">
        <f t="shared" si="5"/>
        <v>#DIV/0!</v>
      </c>
      <c r="M11" s="110">
        <f>IF(ISERROR(VLOOKUP(A11,'[1]FY2010 Actual'!$C$8:$L$54,10, FALSE)),0,VLOOKUP(A11,'[1]FY2010 Actual'!$C$8:$L$54,10, FALSE))</f>
        <v>0</v>
      </c>
      <c r="N11" s="36" t="e">
        <f t="shared" si="2"/>
        <v>#DIV/0!</v>
      </c>
      <c r="P11" s="110">
        <f>IF(ISERROR(VLOOKUP(A11,'[1]FY2011 Budget'!$C$8:$L$54,10, FALSE)),0,VLOOKUP(A11,'[1]FY2011 Budget'!$C$8:$L$54,10, FALSE))</f>
        <v>0</v>
      </c>
      <c r="Q11" s="36" t="e">
        <f t="shared" si="6"/>
        <v>#DIV/0!</v>
      </c>
      <c r="S11" s="110">
        <f>IF(ISERROR(VLOOKUP(A11,'[1]FY2012 Budget'!$C$8:$L$54,10, FALSE)),0,VLOOKUP(A11,'[1]FY2012 Budget'!$C$8:$L$54,10, FALSE))</f>
        <v>0</v>
      </c>
      <c r="T11" s="36" t="e">
        <f t="shared" si="7"/>
        <v>#DIV/0!</v>
      </c>
      <c r="V11" s="110">
        <f t="shared" si="8"/>
        <v>0</v>
      </c>
      <c r="Y11" s="110">
        <f t="shared" si="3"/>
        <v>0</v>
      </c>
    </row>
    <row r="12" spans="1:26">
      <c r="A12" s="15">
        <v>3350</v>
      </c>
      <c r="B12" s="12" t="s">
        <v>22</v>
      </c>
      <c r="D12" s="35">
        <v>13957</v>
      </c>
      <c r="E12" s="109">
        <f t="shared" si="0"/>
        <v>2.4206871154284455E-2</v>
      </c>
      <c r="G12" s="35">
        <v>12373</v>
      </c>
      <c r="H12" s="109">
        <f t="shared" si="1"/>
        <v>2.0971212032665533E-2</v>
      </c>
      <c r="J12" s="35">
        <f>IF(ISERROR(VLOOKUP(A12,'[1]FY2009 Actual'!$C$8:$L$54,10, FALSE)),0,VLOOKUP(A12,'[1]FY2009 Actual'!$C$8:$L$54,10, FALSE))</f>
        <v>0</v>
      </c>
      <c r="K12" s="36" t="e">
        <f t="shared" si="5"/>
        <v>#DIV/0!</v>
      </c>
      <c r="M12" s="110">
        <f>IF(ISERROR(VLOOKUP(A12,'[1]FY2010 Actual'!$C$8:$L$54,10, FALSE)),0,VLOOKUP(A12,'[1]FY2010 Actual'!$C$8:$L$54,10, FALSE))</f>
        <v>0</v>
      </c>
      <c r="N12" s="36" t="e">
        <f t="shared" si="2"/>
        <v>#DIV/0!</v>
      </c>
      <c r="P12" s="110">
        <f>IF(ISERROR(VLOOKUP(A12,'[1]FY2011 Budget'!$C$8:$L$54,10, FALSE)),0,VLOOKUP(A12,'[1]FY2011 Budget'!$C$8:$L$54,10, FALSE))</f>
        <v>0</v>
      </c>
      <c r="Q12" s="36" t="e">
        <f t="shared" si="6"/>
        <v>#DIV/0!</v>
      </c>
      <c r="S12" s="110">
        <f>IF(ISERROR(VLOOKUP(A12,'[1]FY2012 Budget'!$C$8:$L$54,10, FALSE)),0,VLOOKUP(A12,'[1]FY2012 Budget'!$C$8:$L$54,10, FALSE))</f>
        <v>0</v>
      </c>
      <c r="T12" s="36" t="e">
        <f t="shared" si="7"/>
        <v>#DIV/0!</v>
      </c>
      <c r="V12" s="110">
        <f t="shared" si="8"/>
        <v>0</v>
      </c>
      <c r="W12" s="111" t="e">
        <f t="shared" si="9"/>
        <v>#DIV/0!</v>
      </c>
      <c r="Y12" s="110">
        <f t="shared" si="3"/>
        <v>0</v>
      </c>
      <c r="Z12" s="111" t="e">
        <f t="shared" si="4"/>
        <v>#DIV/0!</v>
      </c>
    </row>
    <row r="13" spans="1:26">
      <c r="A13" s="13">
        <v>3400</v>
      </c>
      <c r="B13" s="12" t="s">
        <v>41</v>
      </c>
      <c r="D13" s="35">
        <v>0</v>
      </c>
      <c r="E13" s="109">
        <f t="shared" si="0"/>
        <v>0</v>
      </c>
      <c r="G13" s="35">
        <v>-200</v>
      </c>
      <c r="H13" s="109">
        <f t="shared" si="1"/>
        <v>-3.3898346452219404E-4</v>
      </c>
      <c r="J13" s="35">
        <f>IF(ISERROR(VLOOKUP(A13,'[1]FY2009 Actual'!$C$8:$L$54,10, FALSE)),0,VLOOKUP(A13,'[1]FY2009 Actual'!$C$8:$L$54,10, FALSE))</f>
        <v>0</v>
      </c>
      <c r="K13" s="36" t="e">
        <f t="shared" si="5"/>
        <v>#DIV/0!</v>
      </c>
      <c r="M13" s="110">
        <f>IF(ISERROR(VLOOKUP(A13,'[1]FY2010 Actual'!$C$8:$L$54,10, FALSE)),0,VLOOKUP(A13,'[1]FY2010 Actual'!$C$8:$L$54,10, FALSE))</f>
        <v>0</v>
      </c>
      <c r="P13" s="110">
        <f>IF(ISERROR(VLOOKUP(A13,'[1]FY2011 Budget'!$C$8:$L$54,10, FALSE)),0,VLOOKUP(A13,'[1]FY2011 Budget'!$C$8:$L$54,10, FALSE))</f>
        <v>0</v>
      </c>
      <c r="Q13" s="36" t="e">
        <f t="shared" si="6"/>
        <v>#DIV/0!</v>
      </c>
      <c r="S13" s="110">
        <f>IF(ISERROR(VLOOKUP(A13,'[1]FY2012 Budget'!$C$8:$L$54,10, FALSE)),0,VLOOKUP(A13,'[1]FY2012 Budget'!$C$8:$L$54,10, FALSE))</f>
        <v>0</v>
      </c>
      <c r="T13" s="36" t="e">
        <f t="shared" si="7"/>
        <v>#DIV/0!</v>
      </c>
      <c r="V13" s="110">
        <f t="shared" si="8"/>
        <v>0</v>
      </c>
      <c r="Y13" s="110">
        <f t="shared" si="3"/>
        <v>0</v>
      </c>
    </row>
    <row r="14" spans="1:26">
      <c r="A14" s="15">
        <v>3450</v>
      </c>
      <c r="B14" s="12" t="s">
        <v>23</v>
      </c>
      <c r="D14" s="35">
        <v>68328.2</v>
      </c>
      <c r="E14" s="109">
        <f t="shared" si="0"/>
        <v>0.11850769747110261</v>
      </c>
      <c r="G14" s="35">
        <v>60225.79</v>
      </c>
      <c r="H14" s="109">
        <f t="shared" si="1"/>
        <v>0.10207773473893055</v>
      </c>
      <c r="J14" s="35">
        <f>IF(ISERROR(VLOOKUP(A14,'[1]FY2009 Actual'!$C$8:$L$54,10, FALSE)),0,VLOOKUP(A14,'[1]FY2009 Actual'!$C$8:$L$54,10, FALSE))</f>
        <v>0</v>
      </c>
      <c r="K14" s="36" t="e">
        <f t="shared" si="5"/>
        <v>#DIV/0!</v>
      </c>
      <c r="M14" s="110">
        <f>IF(ISERROR(VLOOKUP(A14,'[1]FY2010 Actual'!$C$8:$L$54,10, FALSE)),0,VLOOKUP(A14,'[1]FY2010 Actual'!$C$8:$L$54,10, FALSE))</f>
        <v>0</v>
      </c>
      <c r="N14" s="36" t="e">
        <f>M14/$M$20</f>
        <v>#DIV/0!</v>
      </c>
      <c r="P14" s="110">
        <f>IF(ISERROR(VLOOKUP(A14,'[1]FY2011 Budget'!$C$8:$L$54,10, FALSE)),0,VLOOKUP(A14,'[1]FY2011 Budget'!$C$8:$L$54,10, FALSE))</f>
        <v>0</v>
      </c>
      <c r="Q14" s="36" t="e">
        <f t="shared" si="6"/>
        <v>#DIV/0!</v>
      </c>
      <c r="S14" s="110">
        <f>IF(ISERROR(VLOOKUP(A14,'[1]FY2012 Budget'!$C$8:$L$54,10, FALSE)),0,VLOOKUP(A14,'[1]FY2012 Budget'!$C$8:$L$54,10, FALSE))</f>
        <v>0</v>
      </c>
      <c r="T14" s="36" t="e">
        <f t="shared" si="7"/>
        <v>#DIV/0!</v>
      </c>
      <c r="V14" s="110">
        <f t="shared" si="8"/>
        <v>0</v>
      </c>
      <c r="W14" s="111" t="e">
        <f t="shared" si="9"/>
        <v>#DIV/0!</v>
      </c>
      <c r="Y14" s="110">
        <f t="shared" si="3"/>
        <v>0</v>
      </c>
      <c r="Z14" s="111" t="e">
        <f t="shared" si="4"/>
        <v>#DIV/0!</v>
      </c>
    </row>
    <row r="15" spans="1:26">
      <c r="A15" s="15">
        <v>3500</v>
      </c>
      <c r="B15" s="12" t="s">
        <v>24</v>
      </c>
      <c r="D15" s="35">
        <v>649.27</v>
      </c>
      <c r="E15" s="109">
        <f t="shared" si="0"/>
        <v>1.1260869265846722E-3</v>
      </c>
      <c r="G15" s="35">
        <v>569.97</v>
      </c>
      <c r="H15" s="109">
        <f t="shared" si="1"/>
        <v>9.6605202636857476E-4</v>
      </c>
      <c r="J15" s="35">
        <f>IF(ISERROR(VLOOKUP(A15,'[1]FY2009 Actual'!$C$8:$L$54,10, FALSE)),0,VLOOKUP(A15,'[1]FY2009 Actual'!$C$8:$L$54,10, FALSE))</f>
        <v>0</v>
      </c>
      <c r="K15" s="36" t="e">
        <f t="shared" si="5"/>
        <v>#DIV/0!</v>
      </c>
      <c r="M15" s="110">
        <f>IF(ISERROR(VLOOKUP(A15,'[1]FY2010 Actual'!$C$8:$L$54,10, FALSE)),0,VLOOKUP(A15,'[1]FY2010 Actual'!$C$8:$L$54,10, FALSE))</f>
        <v>0</v>
      </c>
      <c r="N15" s="36" t="e">
        <f>M15/$M$20</f>
        <v>#DIV/0!</v>
      </c>
      <c r="P15" s="110">
        <f>IF(ISERROR(VLOOKUP(A15,'[1]FY2011 Budget'!$C$8:$L$54,10, FALSE)),0,VLOOKUP(A15,'[1]FY2011 Budget'!$C$8:$L$54,10, FALSE))</f>
        <v>0</v>
      </c>
      <c r="Q15" s="36" t="e">
        <f t="shared" si="6"/>
        <v>#DIV/0!</v>
      </c>
      <c r="S15" s="110">
        <f>IF(ISERROR(VLOOKUP(A15,'[1]FY2012 Budget'!$C$8:$L$54,10, FALSE)),0,VLOOKUP(A15,'[1]FY2012 Budget'!$C$8:$L$54,10, FALSE))</f>
        <v>0</v>
      </c>
      <c r="T15" s="36" t="e">
        <f t="shared" si="7"/>
        <v>#DIV/0!</v>
      </c>
      <c r="V15" s="110">
        <f t="shared" si="8"/>
        <v>0</v>
      </c>
      <c r="W15" s="111" t="e">
        <f t="shared" si="9"/>
        <v>#DIV/0!</v>
      </c>
      <c r="Y15" s="110">
        <f t="shared" si="3"/>
        <v>0</v>
      </c>
      <c r="Z15" s="111" t="e">
        <f t="shared" si="4"/>
        <v>#DIV/0!</v>
      </c>
    </row>
    <row r="16" spans="1:26">
      <c r="A16" s="15">
        <v>3550</v>
      </c>
      <c r="B16" s="12" t="s">
        <v>7</v>
      </c>
      <c r="D16" s="35">
        <v>0</v>
      </c>
      <c r="E16" s="109">
        <f t="shared" si="0"/>
        <v>0</v>
      </c>
      <c r="G16" s="35">
        <v>0</v>
      </c>
      <c r="H16" s="109">
        <f t="shared" si="1"/>
        <v>0</v>
      </c>
      <c r="J16" s="35">
        <f>IF(ISERROR(VLOOKUP(A16,'[1]FY2009 Actual'!$C$8:$L$54,10, FALSE)),0,VLOOKUP(A16,'[1]FY2009 Actual'!$C$8:$L$54,10, FALSE))</f>
        <v>0</v>
      </c>
      <c r="K16" s="36" t="e">
        <f t="shared" si="5"/>
        <v>#DIV/0!</v>
      </c>
      <c r="M16" s="110">
        <f>IF(ISERROR(VLOOKUP(A16,'[1]FY2010 Actual'!$C$8:$L$54,10, FALSE)),0,VLOOKUP(A16,'[1]FY2010 Actual'!$C$8:$L$54,10, FALSE))</f>
        <v>0</v>
      </c>
      <c r="N16" s="36" t="e">
        <f>M16/$M$20</f>
        <v>#DIV/0!</v>
      </c>
      <c r="P16" s="110">
        <f>IF(ISERROR(VLOOKUP(A16,'[1]FY2011 Budget'!$C$8:$L$54,10, FALSE)),0,VLOOKUP(A16,'[1]FY2011 Budget'!$C$8:$L$54,10, FALSE))</f>
        <v>0</v>
      </c>
      <c r="Q16" s="36" t="e">
        <f t="shared" si="6"/>
        <v>#DIV/0!</v>
      </c>
      <c r="S16" s="110">
        <f>IF(ISERROR(VLOOKUP(A16,'[1]FY2012 Budget'!$C$8:$L$54,10, FALSE)),0,VLOOKUP(A16,'[1]FY2012 Budget'!$C$8:$L$54,10, FALSE))</f>
        <v>0</v>
      </c>
      <c r="T16" s="36" t="e">
        <f t="shared" si="7"/>
        <v>#DIV/0!</v>
      </c>
      <c r="V16" s="110">
        <f t="shared" si="8"/>
        <v>0</v>
      </c>
      <c r="Y16" s="110">
        <f t="shared" si="3"/>
        <v>0</v>
      </c>
    </row>
    <row r="17" spans="1:26">
      <c r="A17" s="15">
        <v>3600</v>
      </c>
      <c r="B17" s="12" t="s">
        <v>8</v>
      </c>
      <c r="D17" s="35">
        <v>0</v>
      </c>
      <c r="E17" s="109">
        <f t="shared" si="0"/>
        <v>0</v>
      </c>
      <c r="G17" s="35">
        <v>0</v>
      </c>
      <c r="H17" s="109">
        <f t="shared" si="1"/>
        <v>0</v>
      </c>
      <c r="J17" s="35">
        <f>IF(ISERROR(VLOOKUP(A17,'[1]FY2009 Actual'!$C$8:$L$54,10, FALSE)),0,VLOOKUP(A17,'[1]FY2009 Actual'!$C$8:$L$54,10, FALSE))</f>
        <v>0</v>
      </c>
      <c r="K17" s="36" t="e">
        <f t="shared" si="5"/>
        <v>#DIV/0!</v>
      </c>
      <c r="M17" s="110">
        <f>IF(ISERROR(VLOOKUP(A17,'[1]FY2010 Actual'!$C$8:$L$54,10, FALSE)),0,VLOOKUP(A17,'[1]FY2010 Actual'!$C$8:$L$54,10, FALSE))</f>
        <v>0</v>
      </c>
      <c r="N17" s="36" t="e">
        <f>M17/$M$20</f>
        <v>#DIV/0!</v>
      </c>
      <c r="P17" s="110">
        <f>IF(ISERROR(VLOOKUP(A17,'[1]FY2011 Budget'!$C$8:$L$54,10, FALSE)),0,VLOOKUP(A17,'[1]FY2011 Budget'!$C$8:$L$54,10, FALSE))</f>
        <v>0</v>
      </c>
      <c r="Q17" s="36" t="e">
        <f t="shared" si="6"/>
        <v>#DIV/0!</v>
      </c>
      <c r="S17" s="110">
        <f>IF(ISERROR(VLOOKUP(A17,'[1]FY2012 Budget'!$C$8:$L$54,10, FALSE)),0,VLOOKUP(A17,'[1]FY2012 Budget'!$C$8:$L$54,10, FALSE))</f>
        <v>0</v>
      </c>
      <c r="T17" s="36" t="e">
        <f t="shared" si="7"/>
        <v>#DIV/0!</v>
      </c>
      <c r="V17" s="110">
        <f t="shared" si="8"/>
        <v>0</v>
      </c>
      <c r="Y17" s="110">
        <f t="shared" si="3"/>
        <v>0</v>
      </c>
    </row>
    <row r="18" spans="1:26">
      <c r="A18" s="15">
        <v>3700</v>
      </c>
      <c r="B18" s="12" t="s">
        <v>25</v>
      </c>
      <c r="D18" s="35">
        <v>22838.86</v>
      </c>
      <c r="E18" s="109">
        <f t="shared" si="0"/>
        <v>3.9611473907769659E-2</v>
      </c>
      <c r="G18" s="35">
        <v>15985.47</v>
      </c>
      <c r="H18" s="109">
        <f t="shared" si="1"/>
        <v>2.7094050013077985E-2</v>
      </c>
      <c r="J18" s="35">
        <f>IF(ISERROR(VLOOKUP(A18,'[1]FY2009 Actual'!$C$8:$L$54,10, FALSE)),0,VLOOKUP(A18,'[1]FY2009 Actual'!$C$8:$L$54,10, FALSE))</f>
        <v>0</v>
      </c>
      <c r="K18" s="36" t="e">
        <f t="shared" si="5"/>
        <v>#DIV/0!</v>
      </c>
      <c r="M18" s="110">
        <f>IF(ISERROR(VLOOKUP(A18,'[1]FY2010 Actual'!$C$8:$L$54,10, FALSE)),0,VLOOKUP(A18,'[1]FY2010 Actual'!$C$8:$L$54,10, FALSE))</f>
        <v>0</v>
      </c>
      <c r="N18" s="36" t="e">
        <f>M18/$M$20</f>
        <v>#DIV/0!</v>
      </c>
      <c r="P18" s="110">
        <f>IF(ISERROR(VLOOKUP(A18,'[1]FY2011 Budget'!$C$8:$L$54,10, FALSE)),0,VLOOKUP(A18,'[1]FY2011 Budget'!$C$8:$L$54,10, FALSE))</f>
        <v>0</v>
      </c>
      <c r="Q18" s="36" t="e">
        <f t="shared" si="6"/>
        <v>#DIV/0!</v>
      </c>
      <c r="S18" s="110">
        <f>IF(ISERROR(VLOOKUP(A18,'[1]FY2012 Budget'!$C$8:$L$54,10, FALSE)),0,VLOOKUP(A18,'[1]FY2012 Budget'!$C$8:$L$54,10, FALSE))</f>
        <v>0</v>
      </c>
      <c r="T18" s="36" t="e">
        <f t="shared" si="7"/>
        <v>#DIV/0!</v>
      </c>
      <c r="V18" s="110">
        <f t="shared" si="8"/>
        <v>0</v>
      </c>
      <c r="W18" s="111" t="e">
        <f t="shared" si="9"/>
        <v>#DIV/0!</v>
      </c>
      <c r="Y18" s="110">
        <f>P18-M18</f>
        <v>0</v>
      </c>
      <c r="Z18" s="111" t="e">
        <f>(P18-M18)/M18</f>
        <v>#DIV/0!</v>
      </c>
    </row>
    <row r="19" spans="1:26">
      <c r="A19" s="15"/>
      <c r="B19" s="12"/>
    </row>
    <row r="20" spans="1:26" s="53" customFormat="1" ht="14" thickBot="1">
      <c r="A20" s="57"/>
      <c r="B20" s="46" t="s">
        <v>9</v>
      </c>
      <c r="D20" s="50">
        <f>SUM(D5:D19)</f>
        <v>576571.82999999996</v>
      </c>
      <c r="E20" s="112">
        <f>SUM(E5:E19)</f>
        <v>1</v>
      </c>
      <c r="F20" s="60"/>
      <c r="G20" s="50">
        <f>SUM(G5:G19)</f>
        <v>589999.27999999991</v>
      </c>
      <c r="H20" s="112">
        <f>SUM(H5:H19)</f>
        <v>1.0000000000000002</v>
      </c>
      <c r="I20" s="60"/>
      <c r="J20" s="50">
        <f>SUM(J5:J19)</f>
        <v>0</v>
      </c>
      <c r="K20" s="59" t="e">
        <f>SUM(K5:K19)</f>
        <v>#DIV/0!</v>
      </c>
      <c r="L20" s="60"/>
      <c r="M20" s="113">
        <f>SUM(M5:M19)</f>
        <v>0</v>
      </c>
      <c r="N20" s="59" t="e">
        <f>SUM(N5:N19)</f>
        <v>#DIV/0!</v>
      </c>
      <c r="O20" s="60"/>
      <c r="P20" s="113">
        <f>SUM(P5:P19)</f>
        <v>0</v>
      </c>
      <c r="Q20" s="59" t="e">
        <f>SUM(Q5:Q19)</f>
        <v>#DIV/0!</v>
      </c>
      <c r="R20" s="60"/>
      <c r="S20" s="113">
        <f>SUM(S5:S19)</f>
        <v>0</v>
      </c>
      <c r="T20" s="59" t="e">
        <f>SUM(T5:T19)</f>
        <v>#DIV/0!</v>
      </c>
      <c r="U20" s="60"/>
      <c r="V20" s="113">
        <f>S20-P20</f>
        <v>0</v>
      </c>
      <c r="W20" s="114" t="e">
        <f>(S20-P20)/P20</f>
        <v>#DIV/0!</v>
      </c>
      <c r="X20" s="60"/>
      <c r="Y20" s="113">
        <f>P20-M20</f>
        <v>0</v>
      </c>
      <c r="Z20" s="114" t="e">
        <f>(P20-M20)/M20</f>
        <v>#DIV/0!</v>
      </c>
    </row>
    <row r="21" spans="1:26">
      <c r="A21" s="13"/>
    </row>
    <row r="22" spans="1:26">
      <c r="A22" s="19" t="s">
        <v>10</v>
      </c>
    </row>
    <row r="23" spans="1:26">
      <c r="A23" s="23"/>
    </row>
    <row r="24" spans="1:26" s="25" customFormat="1">
      <c r="A24" s="27">
        <v>4010</v>
      </c>
      <c r="B24" s="28" t="s">
        <v>26</v>
      </c>
      <c r="C24" s="26"/>
      <c r="D24" s="29">
        <v>325270.95</v>
      </c>
      <c r="E24" s="115">
        <f t="shared" ref="E24:E46" si="10">D24/$D$48</f>
        <v>0.51308094689161587</v>
      </c>
      <c r="F24" s="26"/>
      <c r="G24" s="29">
        <v>325380.63</v>
      </c>
      <c r="H24" s="115">
        <f t="shared" ref="H24:H46" si="11">G24/$G$48</f>
        <v>0.52308306535921334</v>
      </c>
      <c r="I24" s="26"/>
      <c r="J24" s="35">
        <f>IF(ISERROR(VLOOKUP(A24,'[1]FY2009 Actual'!$C$8:$L$54,10, FALSE)),0,VLOOKUP(A24,'[1]FY2009 Actual'!$C$8:$L$54,10, FALSE))</f>
        <v>0</v>
      </c>
      <c r="K24" s="30" t="e">
        <f>J24/$J$48</f>
        <v>#DIV/0!</v>
      </c>
      <c r="L24" s="26"/>
      <c r="M24" s="110">
        <f>IF(ISERROR(VLOOKUP(A24,'[1]FY2010 Actual'!$C$8:$L$54,10, FALSE)),0,VLOOKUP(A24,'[1]FY2010 Actual'!$C$8:$L$54,10, FALSE))</f>
        <v>0</v>
      </c>
      <c r="N24" s="30" t="e">
        <f t="shared" ref="N24:N46" si="12">M24/$M$48</f>
        <v>#DIV/0!</v>
      </c>
      <c r="O24" s="26"/>
      <c r="P24" s="110">
        <f>IF(ISERROR(VLOOKUP(A24,'[1]FY2011 Budget'!$C$8:$L$54,10, FALSE)),0,VLOOKUP(A24,'[1]FY2011 Budget'!$C$8:$L$54,10, FALSE))</f>
        <v>0</v>
      </c>
      <c r="Q24" s="36" t="e">
        <f>P24/$P$48</f>
        <v>#DIV/0!</v>
      </c>
      <c r="R24" s="26"/>
      <c r="S24" s="110">
        <f>IF(ISERROR(VLOOKUP(A24,'[1]FY2012 Budget'!$C$8:$L$54,10, FALSE)),0,VLOOKUP(A24,'[1]FY2012 Budget'!$C$8:$L$54,10, FALSE))</f>
        <v>0</v>
      </c>
      <c r="T24" s="36" t="e">
        <f>S24/$P$48</f>
        <v>#DIV/0!</v>
      </c>
      <c r="U24" s="26"/>
      <c r="V24" s="110">
        <f t="shared" ref="V24:V46" si="13">S24-P24</f>
        <v>0</v>
      </c>
      <c r="W24" s="111" t="e">
        <f t="shared" ref="W24:W46" si="14">(S24-P24)/P24</f>
        <v>#DIV/0!</v>
      </c>
      <c r="X24" s="26"/>
      <c r="Y24" s="116">
        <f t="shared" ref="Y24:Y45" si="15">P24-M24</f>
        <v>0</v>
      </c>
      <c r="Z24" s="117" t="e">
        <f t="shared" ref="Z24:Z45" si="16">(P24-M24)/M24</f>
        <v>#DIV/0!</v>
      </c>
    </row>
    <row r="25" spans="1:26" s="25" customFormat="1">
      <c r="A25" s="27">
        <v>4030</v>
      </c>
      <c r="B25" s="28" t="s">
        <v>27</v>
      </c>
      <c r="C25" s="26"/>
      <c r="D25" s="29">
        <v>22614.59</v>
      </c>
      <c r="E25" s="115">
        <f t="shared" si="10"/>
        <v>3.5672153479324446E-2</v>
      </c>
      <c r="F25" s="26"/>
      <c r="G25" s="29">
        <v>26091.89</v>
      </c>
      <c r="H25" s="115">
        <f t="shared" si="11"/>
        <v>4.1945415749595809E-2</v>
      </c>
      <c r="I25" s="26"/>
      <c r="J25" s="35">
        <f>IF(ISERROR(VLOOKUP(A25,'[1]FY2009 Actual'!$C$8:$L$54,10, FALSE)),0,VLOOKUP(A25,'[1]FY2009 Actual'!$C$8:$L$54,10, FALSE))</f>
        <v>0</v>
      </c>
      <c r="K25" s="30" t="e">
        <f t="shared" ref="K25:K46" si="17">J25/$J$48</f>
        <v>#DIV/0!</v>
      </c>
      <c r="L25" s="26"/>
      <c r="M25" s="110">
        <f>IF(ISERROR(VLOOKUP(A25,'[1]FY2010 Actual'!$C$8:$L$54,10, FALSE)),0,VLOOKUP(A25,'[1]FY2010 Actual'!$C$8:$L$54,10, FALSE))</f>
        <v>0</v>
      </c>
      <c r="N25" s="30" t="e">
        <f t="shared" si="12"/>
        <v>#DIV/0!</v>
      </c>
      <c r="O25" s="26"/>
      <c r="P25" s="110">
        <f>IF(ISERROR(VLOOKUP(A25,'[1]FY2011 Budget'!$C$8:$L$54,10, FALSE)),0,VLOOKUP(A25,'[1]FY2011 Budget'!$C$8:$L$54,10, FALSE))</f>
        <v>0</v>
      </c>
      <c r="Q25" s="36" t="e">
        <f t="shared" ref="Q25:Q46" si="18">P25/$P$48</f>
        <v>#DIV/0!</v>
      </c>
      <c r="R25" s="26"/>
      <c r="S25" s="110">
        <f>IF(ISERROR(VLOOKUP(A25,'[1]FY2012 Budget'!$C$8:$L$54,10, FALSE)),0,VLOOKUP(A25,'[1]FY2012 Budget'!$C$8:$L$54,10, FALSE))</f>
        <v>0</v>
      </c>
      <c r="T25" s="36" t="e">
        <f t="shared" ref="T25:T46" si="19">S25/$P$48</f>
        <v>#DIV/0!</v>
      </c>
      <c r="U25" s="26"/>
      <c r="V25" s="110">
        <f t="shared" si="13"/>
        <v>0</v>
      </c>
      <c r="W25" s="111" t="e">
        <f t="shared" si="14"/>
        <v>#DIV/0!</v>
      </c>
      <c r="X25" s="26"/>
      <c r="Y25" s="116">
        <f t="shared" si="15"/>
        <v>0</v>
      </c>
      <c r="Z25" s="117" t="e">
        <f t="shared" si="16"/>
        <v>#DIV/0!</v>
      </c>
    </row>
    <row r="26" spans="1:26" s="25" customFormat="1">
      <c r="A26" s="27">
        <v>4040</v>
      </c>
      <c r="B26" s="28" t="s">
        <v>28</v>
      </c>
      <c r="C26" s="26"/>
      <c r="D26" s="29">
        <v>20285.22</v>
      </c>
      <c r="E26" s="115">
        <f t="shared" si="10"/>
        <v>3.1997815622651651E-2</v>
      </c>
      <c r="F26" s="26"/>
      <c r="G26" s="29">
        <v>18511.439999999999</v>
      </c>
      <c r="H26" s="115">
        <f t="shared" si="11"/>
        <v>2.9759057198374583E-2</v>
      </c>
      <c r="I26" s="26"/>
      <c r="J26" s="35">
        <f>IF(ISERROR(VLOOKUP(A26,'[1]FY2009 Actual'!$C$8:$L$54,10, FALSE)),0,VLOOKUP(A26,'[1]FY2009 Actual'!$C$8:$L$54,10, FALSE))</f>
        <v>0</v>
      </c>
      <c r="K26" s="30" t="e">
        <f t="shared" si="17"/>
        <v>#DIV/0!</v>
      </c>
      <c r="L26" s="26"/>
      <c r="M26" s="110">
        <f>IF(ISERROR(VLOOKUP(A26,'[1]FY2010 Actual'!$C$8:$L$54,10, FALSE)),0,VLOOKUP(A26,'[1]FY2010 Actual'!$C$8:$L$54,10, FALSE))</f>
        <v>0</v>
      </c>
      <c r="N26" s="30" t="e">
        <f t="shared" si="12"/>
        <v>#DIV/0!</v>
      </c>
      <c r="O26" s="26"/>
      <c r="P26" s="110">
        <f>IF(ISERROR(VLOOKUP(A26,'[1]FY2011 Budget'!$C$8:$L$54,10, FALSE)),0,VLOOKUP(A26,'[1]FY2011 Budget'!$C$8:$L$54,10, FALSE))</f>
        <v>0</v>
      </c>
      <c r="Q26" s="36" t="e">
        <f t="shared" si="18"/>
        <v>#DIV/0!</v>
      </c>
      <c r="R26" s="26"/>
      <c r="S26" s="110">
        <f>IF(ISERROR(VLOOKUP(A26,'[1]FY2012 Budget'!$C$8:$L$54,10, FALSE)),0,VLOOKUP(A26,'[1]FY2012 Budget'!$C$8:$L$54,10, FALSE))</f>
        <v>0</v>
      </c>
      <c r="T26" s="36" t="e">
        <f t="shared" si="19"/>
        <v>#DIV/0!</v>
      </c>
      <c r="U26" s="26"/>
      <c r="V26" s="110">
        <f t="shared" si="13"/>
        <v>0</v>
      </c>
      <c r="W26" s="111" t="e">
        <f t="shared" si="14"/>
        <v>#DIV/0!</v>
      </c>
      <c r="X26" s="26"/>
      <c r="Y26" s="116">
        <f t="shared" si="15"/>
        <v>0</v>
      </c>
      <c r="Z26" s="117" t="e">
        <f t="shared" si="16"/>
        <v>#DIV/0!</v>
      </c>
    </row>
    <row r="27" spans="1:26" s="25" customFormat="1">
      <c r="A27" s="27">
        <v>4050</v>
      </c>
      <c r="B27" s="28" t="s">
        <v>29</v>
      </c>
      <c r="C27" s="26"/>
      <c r="D27" s="29">
        <v>7870.66</v>
      </c>
      <c r="E27" s="115">
        <f t="shared" si="10"/>
        <v>1.2415144006748728E-2</v>
      </c>
      <c r="F27" s="26"/>
      <c r="G27" s="29">
        <v>12435.45</v>
      </c>
      <c r="H27" s="115">
        <f t="shared" si="11"/>
        <v>1.9991273927772623E-2</v>
      </c>
      <c r="I27" s="26"/>
      <c r="J27" s="35">
        <f>IF(ISERROR(VLOOKUP(A27,'[1]FY2009 Actual'!$C$8:$L$54,10, FALSE)),0,VLOOKUP(A27,'[1]FY2009 Actual'!$C$8:$L$54,10, FALSE))</f>
        <v>0</v>
      </c>
      <c r="K27" s="30" t="e">
        <f t="shared" si="17"/>
        <v>#DIV/0!</v>
      </c>
      <c r="L27" s="26"/>
      <c r="M27" s="110">
        <f>IF(ISERROR(VLOOKUP(A27,'[1]FY2010 Actual'!$C$8:$L$54,10, FALSE)),0,VLOOKUP(A27,'[1]FY2010 Actual'!$C$8:$L$54,10, FALSE))</f>
        <v>0</v>
      </c>
      <c r="N27" s="30" t="e">
        <f t="shared" si="12"/>
        <v>#DIV/0!</v>
      </c>
      <c r="O27" s="26"/>
      <c r="P27" s="110">
        <f>IF(ISERROR(VLOOKUP(A27,'[1]FY2011 Budget'!$C$8:$L$54,10, FALSE)),0,VLOOKUP(A27,'[1]FY2011 Budget'!$C$8:$L$54,10, FALSE))</f>
        <v>0</v>
      </c>
      <c r="Q27" s="36" t="e">
        <f t="shared" si="18"/>
        <v>#DIV/0!</v>
      </c>
      <c r="R27" s="26"/>
      <c r="S27" s="110">
        <f>IF(ISERROR(VLOOKUP(A27,'[1]FY2012 Budget'!$C$8:$L$54,10, FALSE)),0,VLOOKUP(A27,'[1]FY2012 Budget'!$C$8:$L$54,10, FALSE))</f>
        <v>0</v>
      </c>
      <c r="T27" s="36" t="e">
        <f t="shared" si="19"/>
        <v>#DIV/0!</v>
      </c>
      <c r="U27" s="26"/>
      <c r="V27" s="110">
        <f t="shared" si="13"/>
        <v>0</v>
      </c>
      <c r="W27" s="111" t="e">
        <f t="shared" si="14"/>
        <v>#DIV/0!</v>
      </c>
      <c r="X27" s="26"/>
      <c r="Y27" s="116">
        <f t="shared" si="15"/>
        <v>0</v>
      </c>
      <c r="Z27" s="117" t="e">
        <f t="shared" si="16"/>
        <v>#DIV/0!</v>
      </c>
    </row>
    <row r="28" spans="1:26" s="25" customFormat="1">
      <c r="A28" s="27">
        <v>4060</v>
      </c>
      <c r="B28" s="28" t="s">
        <v>30</v>
      </c>
      <c r="C28" s="26"/>
      <c r="D28" s="29">
        <v>4143.8900000000003</v>
      </c>
      <c r="E28" s="115">
        <f t="shared" si="10"/>
        <v>6.5365536178828704E-3</v>
      </c>
      <c r="F28" s="26"/>
      <c r="G28" s="29">
        <v>431.98</v>
      </c>
      <c r="H28" s="115">
        <f t="shared" si="11"/>
        <v>6.9445259410147746E-4</v>
      </c>
      <c r="I28" s="26"/>
      <c r="J28" s="35">
        <f>IF(ISERROR(VLOOKUP(A28,'[1]FY2009 Actual'!$C$8:$L$54,10, FALSE)),0,VLOOKUP(A28,'[1]FY2009 Actual'!$C$8:$L$54,10, FALSE))</f>
        <v>0</v>
      </c>
      <c r="K28" s="30" t="e">
        <f t="shared" si="17"/>
        <v>#DIV/0!</v>
      </c>
      <c r="L28" s="26"/>
      <c r="M28" s="110">
        <f>IF(ISERROR(VLOOKUP(A28,'[1]FY2010 Actual'!$C$8:$L$54,10, FALSE)),0,VLOOKUP(A28,'[1]FY2010 Actual'!$C$8:$L$54,10, FALSE))</f>
        <v>0</v>
      </c>
      <c r="N28" s="30" t="e">
        <f t="shared" si="12"/>
        <v>#DIV/0!</v>
      </c>
      <c r="O28" s="26"/>
      <c r="P28" s="110">
        <f>IF(ISERROR(VLOOKUP(A28,'[1]FY2011 Budget'!$C$8:$L$54,10, FALSE)),0,VLOOKUP(A28,'[1]FY2011 Budget'!$C$8:$L$54,10, FALSE))</f>
        <v>0</v>
      </c>
      <c r="Q28" s="36" t="e">
        <f t="shared" si="18"/>
        <v>#DIV/0!</v>
      </c>
      <c r="R28" s="26"/>
      <c r="S28" s="110">
        <f>IF(ISERROR(VLOOKUP(A28,'[1]FY2012 Budget'!$C$8:$L$54,10, FALSE)),0,VLOOKUP(A28,'[1]FY2012 Budget'!$C$8:$L$54,10, FALSE))</f>
        <v>0</v>
      </c>
      <c r="T28" s="36" t="e">
        <f t="shared" si="19"/>
        <v>#DIV/0!</v>
      </c>
      <c r="U28" s="26"/>
      <c r="V28" s="110">
        <f t="shared" si="13"/>
        <v>0</v>
      </c>
      <c r="W28" s="111" t="e">
        <f t="shared" si="14"/>
        <v>#DIV/0!</v>
      </c>
      <c r="X28" s="26"/>
      <c r="Y28" s="116">
        <f t="shared" si="15"/>
        <v>0</v>
      </c>
      <c r="Z28" s="117" t="e">
        <f t="shared" si="16"/>
        <v>#DIV/0!</v>
      </c>
    </row>
    <row r="29" spans="1:26" s="25" customFormat="1">
      <c r="A29" s="27">
        <v>4100</v>
      </c>
      <c r="B29" s="28" t="s">
        <v>31</v>
      </c>
      <c r="C29" s="26"/>
      <c r="D29" s="29">
        <v>4822.71</v>
      </c>
      <c r="E29" s="115">
        <f t="shared" si="10"/>
        <v>7.6073212605788027E-3</v>
      </c>
      <c r="F29" s="26"/>
      <c r="G29" s="29">
        <v>4866.09</v>
      </c>
      <c r="H29" s="115">
        <f t="shared" si="11"/>
        <v>7.8227437002436652E-3</v>
      </c>
      <c r="I29" s="26"/>
      <c r="J29" s="35">
        <f>IF(ISERROR(VLOOKUP(A29,'[1]FY2009 Actual'!$C$8:$L$54,10, FALSE)),0,VLOOKUP(A29,'[1]FY2009 Actual'!$C$8:$L$54,10, FALSE))</f>
        <v>0</v>
      </c>
      <c r="K29" s="30" t="e">
        <f t="shared" si="17"/>
        <v>#DIV/0!</v>
      </c>
      <c r="L29" s="26"/>
      <c r="M29" s="110">
        <f>IF(ISERROR(VLOOKUP(A29,'[1]FY2010 Actual'!$C$8:$L$54,10, FALSE)),0,VLOOKUP(A29,'[1]FY2010 Actual'!$C$8:$L$54,10, FALSE))</f>
        <v>0</v>
      </c>
      <c r="N29" s="30" t="e">
        <f t="shared" si="12"/>
        <v>#DIV/0!</v>
      </c>
      <c r="O29" s="26"/>
      <c r="P29" s="110">
        <f>IF(ISERROR(VLOOKUP(A29,'[1]FY2011 Budget'!$C$8:$L$54,10, FALSE)),0,VLOOKUP(A29,'[1]FY2011 Budget'!$C$8:$L$54,10, FALSE))</f>
        <v>0</v>
      </c>
      <c r="Q29" s="36" t="e">
        <f t="shared" si="18"/>
        <v>#DIV/0!</v>
      </c>
      <c r="R29" s="26"/>
      <c r="S29" s="110">
        <f>IF(ISERROR(VLOOKUP(A29,'[1]FY2012 Budget'!$C$8:$L$54,10, FALSE)),0,VLOOKUP(A29,'[1]FY2012 Budget'!$C$8:$L$54,10, FALSE))</f>
        <v>0</v>
      </c>
      <c r="T29" s="36" t="e">
        <f t="shared" si="19"/>
        <v>#DIV/0!</v>
      </c>
      <c r="U29" s="26"/>
      <c r="V29" s="110">
        <f t="shared" si="13"/>
        <v>0</v>
      </c>
      <c r="W29" s="111" t="e">
        <f t="shared" si="14"/>
        <v>#DIV/0!</v>
      </c>
      <c r="X29" s="26"/>
      <c r="Y29" s="116">
        <f t="shared" si="15"/>
        <v>0</v>
      </c>
      <c r="Z29" s="117" t="e">
        <f t="shared" si="16"/>
        <v>#DIV/0!</v>
      </c>
    </row>
    <row r="30" spans="1:26" s="25" customFormat="1">
      <c r="A30" s="27">
        <v>4150</v>
      </c>
      <c r="B30" s="28" t="s">
        <v>11</v>
      </c>
      <c r="C30" s="26"/>
      <c r="D30" s="29">
        <v>16197.86</v>
      </c>
      <c r="E30" s="115">
        <f t="shared" si="10"/>
        <v>2.555043217483095E-2</v>
      </c>
      <c r="F30" s="26"/>
      <c r="G30" s="29">
        <v>18953.12</v>
      </c>
      <c r="H30" s="115">
        <f t="shared" si="11"/>
        <v>3.0469103547193371E-2</v>
      </c>
      <c r="I30" s="26"/>
      <c r="J30" s="35">
        <f>IF(ISERROR(VLOOKUP(A30,'[1]FY2009 Actual'!$C$8:$L$54,10, FALSE)),0,VLOOKUP(A30,'[1]FY2009 Actual'!$C$8:$L$54,10, FALSE))</f>
        <v>0</v>
      </c>
      <c r="K30" s="30" t="e">
        <f t="shared" si="17"/>
        <v>#DIV/0!</v>
      </c>
      <c r="L30" s="26"/>
      <c r="M30" s="110">
        <f>IF(ISERROR(VLOOKUP(A30,'[1]FY2010 Actual'!$C$8:$L$54,10, FALSE)),0,VLOOKUP(A30,'[1]FY2010 Actual'!$C$8:$L$54,10, FALSE))</f>
        <v>0</v>
      </c>
      <c r="N30" s="30" t="e">
        <f t="shared" si="12"/>
        <v>#DIV/0!</v>
      </c>
      <c r="O30" s="26"/>
      <c r="P30" s="110">
        <f>IF(ISERROR(VLOOKUP(A30,'[1]FY2011 Budget'!$C$8:$L$54,10, FALSE)),0,VLOOKUP(A30,'[1]FY2011 Budget'!$C$8:$L$54,10, FALSE))</f>
        <v>0</v>
      </c>
      <c r="Q30" s="36" t="e">
        <f t="shared" si="18"/>
        <v>#DIV/0!</v>
      </c>
      <c r="R30" s="26"/>
      <c r="S30" s="110">
        <f>IF(ISERROR(VLOOKUP(A30,'[1]FY2012 Budget'!$C$8:$L$54,10, FALSE)),0,VLOOKUP(A30,'[1]FY2012 Budget'!$C$8:$L$54,10, FALSE))</f>
        <v>0</v>
      </c>
      <c r="T30" s="36" t="e">
        <f t="shared" si="19"/>
        <v>#DIV/0!</v>
      </c>
      <c r="U30" s="26"/>
      <c r="V30" s="110">
        <f t="shared" si="13"/>
        <v>0</v>
      </c>
      <c r="W30" s="111" t="e">
        <f t="shared" si="14"/>
        <v>#DIV/0!</v>
      </c>
      <c r="X30" s="26"/>
      <c r="Y30" s="116">
        <f t="shared" si="15"/>
        <v>0</v>
      </c>
      <c r="Z30" s="117" t="e">
        <f t="shared" si="16"/>
        <v>#DIV/0!</v>
      </c>
    </row>
    <row r="31" spans="1:26" s="25" customFormat="1">
      <c r="A31" s="27">
        <v>4200</v>
      </c>
      <c r="B31" s="28" t="s">
        <v>12</v>
      </c>
      <c r="C31" s="26"/>
      <c r="D31" s="29">
        <v>2015.04</v>
      </c>
      <c r="E31" s="115">
        <f t="shared" si="10"/>
        <v>3.1785151155505329E-3</v>
      </c>
      <c r="F31" s="26"/>
      <c r="G31" s="29">
        <v>901.46</v>
      </c>
      <c r="H31" s="115">
        <f t="shared" si="11"/>
        <v>1.4491903224193663E-3</v>
      </c>
      <c r="I31" s="26"/>
      <c r="J31" s="35">
        <f>IF(ISERROR(VLOOKUP(A31,'[1]FY2009 Actual'!$C$8:$L$54,10, FALSE)),0,VLOOKUP(A31,'[1]FY2009 Actual'!$C$8:$L$54,10, FALSE))</f>
        <v>0</v>
      </c>
      <c r="K31" s="30" t="e">
        <f t="shared" si="17"/>
        <v>#DIV/0!</v>
      </c>
      <c r="L31" s="26"/>
      <c r="M31" s="110">
        <f>IF(ISERROR(VLOOKUP(A31,'[1]FY2010 Actual'!$C$8:$L$54,10, FALSE)),0,VLOOKUP(A31,'[1]FY2010 Actual'!$C$8:$L$54,10, FALSE))</f>
        <v>0</v>
      </c>
      <c r="N31" s="30" t="e">
        <f t="shared" si="12"/>
        <v>#DIV/0!</v>
      </c>
      <c r="O31" s="26"/>
      <c r="P31" s="110">
        <f>IF(ISERROR(VLOOKUP(A31,'[1]FY2011 Budget'!$C$8:$L$54,10, FALSE)),0,VLOOKUP(A31,'[1]FY2011 Budget'!$C$8:$L$54,10, FALSE))</f>
        <v>0</v>
      </c>
      <c r="Q31" s="36" t="e">
        <f t="shared" si="18"/>
        <v>#DIV/0!</v>
      </c>
      <c r="R31" s="26"/>
      <c r="S31" s="110">
        <f>IF(ISERROR(VLOOKUP(A31,'[1]FY2012 Budget'!$C$8:$L$54,10, FALSE)),0,VLOOKUP(A31,'[1]FY2012 Budget'!$C$8:$L$54,10, FALSE))</f>
        <v>0</v>
      </c>
      <c r="T31" s="36" t="e">
        <f t="shared" si="19"/>
        <v>#DIV/0!</v>
      </c>
      <c r="U31" s="26"/>
      <c r="V31" s="110">
        <f t="shared" si="13"/>
        <v>0</v>
      </c>
      <c r="W31" s="111"/>
      <c r="X31" s="26"/>
      <c r="Y31" s="116">
        <f t="shared" si="15"/>
        <v>0</v>
      </c>
      <c r="Z31" s="117" t="e">
        <f t="shared" si="16"/>
        <v>#DIV/0!</v>
      </c>
    </row>
    <row r="32" spans="1:26" s="25" customFormat="1">
      <c r="A32" s="27">
        <v>4250</v>
      </c>
      <c r="B32" s="28" t="s">
        <v>32</v>
      </c>
      <c r="C32" s="26"/>
      <c r="D32" s="29">
        <v>12351.84</v>
      </c>
      <c r="E32" s="115">
        <f t="shared" si="10"/>
        <v>1.9483737367427791E-2</v>
      </c>
      <c r="F32" s="26"/>
      <c r="G32" s="29">
        <v>5527.19</v>
      </c>
      <c r="H32" s="115">
        <f t="shared" si="11"/>
        <v>8.8855304263895183E-3</v>
      </c>
      <c r="I32" s="26"/>
      <c r="J32" s="35">
        <f>IF(ISERROR(VLOOKUP(A32,'[1]FY2009 Actual'!$C$8:$L$54,10, FALSE)),0,VLOOKUP(A32,'[1]FY2009 Actual'!$C$8:$L$54,10, FALSE))</f>
        <v>0</v>
      </c>
      <c r="K32" s="30" t="e">
        <f t="shared" si="17"/>
        <v>#DIV/0!</v>
      </c>
      <c r="L32" s="26"/>
      <c r="M32" s="110">
        <f>IF(ISERROR(VLOOKUP(A32,'[1]FY2010 Actual'!$C$8:$L$54,10, FALSE)),0,VLOOKUP(A32,'[1]FY2010 Actual'!$C$8:$L$54,10, FALSE))</f>
        <v>0</v>
      </c>
      <c r="N32" s="30" t="e">
        <f t="shared" si="12"/>
        <v>#DIV/0!</v>
      </c>
      <c r="O32" s="26"/>
      <c r="P32" s="110">
        <f>IF(ISERROR(VLOOKUP(A32,'[1]FY2011 Budget'!$C$8:$L$54,10, FALSE)),0,VLOOKUP(A32,'[1]FY2011 Budget'!$C$8:$L$54,10, FALSE))</f>
        <v>0</v>
      </c>
      <c r="Q32" s="36" t="e">
        <f t="shared" si="18"/>
        <v>#DIV/0!</v>
      </c>
      <c r="R32" s="26"/>
      <c r="S32" s="110">
        <f>IF(ISERROR(VLOOKUP(A32,'[1]FY2012 Budget'!$C$8:$L$54,10, FALSE)),0,VLOOKUP(A32,'[1]FY2012 Budget'!$C$8:$L$54,10, FALSE))</f>
        <v>0</v>
      </c>
      <c r="T32" s="36" t="e">
        <f t="shared" si="19"/>
        <v>#DIV/0!</v>
      </c>
      <c r="U32" s="26"/>
      <c r="V32" s="110">
        <f t="shared" si="13"/>
        <v>0</v>
      </c>
      <c r="W32" s="111" t="e">
        <f t="shared" si="14"/>
        <v>#DIV/0!</v>
      </c>
      <c r="X32" s="26"/>
      <c r="Y32" s="116">
        <f t="shared" si="15"/>
        <v>0</v>
      </c>
      <c r="Z32" s="117" t="e">
        <f t="shared" si="16"/>
        <v>#DIV/0!</v>
      </c>
    </row>
    <row r="33" spans="1:26" s="25" customFormat="1">
      <c r="A33" s="27">
        <v>4400</v>
      </c>
      <c r="B33" s="28" t="s">
        <v>33</v>
      </c>
      <c r="C33" s="26"/>
      <c r="D33" s="29">
        <v>2332.1999999999998</v>
      </c>
      <c r="E33" s="115">
        <f t="shared" si="10"/>
        <v>3.6788018860603026E-3</v>
      </c>
      <c r="F33" s="26"/>
      <c r="G33" s="29">
        <v>1935.38</v>
      </c>
      <c r="H33" s="115">
        <f t="shared" si="11"/>
        <v>3.1113238149268886E-3</v>
      </c>
      <c r="I33" s="26"/>
      <c r="J33" s="35">
        <f>IF(ISERROR(VLOOKUP(A33,'[1]FY2009 Actual'!$C$8:$L$54,10, FALSE)),0,VLOOKUP(A33,'[1]FY2009 Actual'!$C$8:$L$54,10, FALSE))</f>
        <v>0</v>
      </c>
      <c r="K33" s="30" t="e">
        <f t="shared" si="17"/>
        <v>#DIV/0!</v>
      </c>
      <c r="L33" s="26"/>
      <c r="M33" s="110">
        <f>IF(ISERROR(VLOOKUP(A33,'[1]FY2010 Actual'!$C$8:$L$54,10, FALSE)),0,VLOOKUP(A33,'[1]FY2010 Actual'!$C$8:$L$54,10, FALSE))</f>
        <v>0</v>
      </c>
      <c r="N33" s="30" t="e">
        <f t="shared" si="12"/>
        <v>#DIV/0!</v>
      </c>
      <c r="O33" s="26"/>
      <c r="P33" s="110">
        <f>IF(ISERROR(VLOOKUP(A33,'[1]FY2011 Budget'!$C$8:$L$54,10, FALSE)),0,VLOOKUP(A33,'[1]FY2011 Budget'!$C$8:$L$54,10, FALSE))</f>
        <v>0</v>
      </c>
      <c r="Q33" s="36" t="e">
        <f t="shared" si="18"/>
        <v>#DIV/0!</v>
      </c>
      <c r="R33" s="26"/>
      <c r="S33" s="110">
        <f>IF(ISERROR(VLOOKUP(A33,'[1]FY2012 Budget'!$C$8:$L$54,10, FALSE)),0,VLOOKUP(A33,'[1]FY2012 Budget'!$C$8:$L$54,10, FALSE))</f>
        <v>0</v>
      </c>
      <c r="T33" s="36" t="e">
        <f t="shared" si="19"/>
        <v>#DIV/0!</v>
      </c>
      <c r="U33" s="26"/>
      <c r="V33" s="110">
        <f t="shared" si="13"/>
        <v>0</v>
      </c>
      <c r="W33" s="111" t="e">
        <f t="shared" si="14"/>
        <v>#DIV/0!</v>
      </c>
      <c r="X33" s="26"/>
      <c r="Y33" s="116">
        <f t="shared" si="15"/>
        <v>0</v>
      </c>
      <c r="Z33" s="117" t="e">
        <f t="shared" si="16"/>
        <v>#DIV/0!</v>
      </c>
    </row>
    <row r="34" spans="1:26" s="25" customFormat="1">
      <c r="A34" s="27">
        <v>4410</v>
      </c>
      <c r="B34" s="28" t="s">
        <v>34</v>
      </c>
      <c r="C34" s="26"/>
      <c r="D34" s="29">
        <v>19156.060000000001</v>
      </c>
      <c r="E34" s="115">
        <f t="shared" si="10"/>
        <v>3.0216683670990625E-2</v>
      </c>
      <c r="F34" s="26"/>
      <c r="G34" s="29">
        <v>21660.31</v>
      </c>
      <c r="H34" s="115">
        <f t="shared" si="11"/>
        <v>3.4821191880508758E-2</v>
      </c>
      <c r="I34" s="26"/>
      <c r="J34" s="35">
        <f>IF(ISERROR(VLOOKUP(A34,'[1]FY2009 Actual'!$C$8:$L$54,10, FALSE)),0,VLOOKUP(A34,'[1]FY2009 Actual'!$C$8:$L$54,10, FALSE))</f>
        <v>0</v>
      </c>
      <c r="K34" s="30" t="e">
        <f t="shared" si="17"/>
        <v>#DIV/0!</v>
      </c>
      <c r="L34" s="26"/>
      <c r="M34" s="110">
        <f>IF(ISERROR(VLOOKUP(A34,'[1]FY2010 Actual'!$C$8:$L$54,10, FALSE)),0,VLOOKUP(A34,'[1]FY2010 Actual'!$C$8:$L$54,10, FALSE))</f>
        <v>0</v>
      </c>
      <c r="N34" s="30" t="e">
        <f t="shared" si="12"/>
        <v>#DIV/0!</v>
      </c>
      <c r="O34" s="26"/>
      <c r="P34" s="110">
        <f>IF(ISERROR(VLOOKUP(A34,'[1]FY2011 Budget'!$C$8:$L$54,10, FALSE)),0,VLOOKUP(A34,'[1]FY2011 Budget'!$C$8:$L$54,10, FALSE))</f>
        <v>0</v>
      </c>
      <c r="Q34" s="36" t="e">
        <f t="shared" si="18"/>
        <v>#DIV/0!</v>
      </c>
      <c r="R34" s="26"/>
      <c r="S34" s="110">
        <f>IF(ISERROR(VLOOKUP(A34,'[1]FY2012 Budget'!$C$8:$L$54,10, FALSE)),0,VLOOKUP(A34,'[1]FY2012 Budget'!$C$8:$L$54,10, FALSE))</f>
        <v>0</v>
      </c>
      <c r="T34" s="36" t="e">
        <f t="shared" si="19"/>
        <v>#DIV/0!</v>
      </c>
      <c r="U34" s="26"/>
      <c r="V34" s="110">
        <f t="shared" si="13"/>
        <v>0</v>
      </c>
      <c r="W34" s="111" t="e">
        <f t="shared" si="14"/>
        <v>#DIV/0!</v>
      </c>
      <c r="X34" s="26"/>
      <c r="Y34" s="116">
        <f t="shared" si="15"/>
        <v>0</v>
      </c>
      <c r="Z34" s="117" t="e">
        <f t="shared" si="16"/>
        <v>#DIV/0!</v>
      </c>
    </row>
    <row r="35" spans="1:26" s="25" customFormat="1">
      <c r="A35" s="27">
        <v>4420</v>
      </c>
      <c r="B35" s="28" t="s">
        <v>35</v>
      </c>
      <c r="C35" s="26"/>
      <c r="D35" s="29">
        <v>16914.8</v>
      </c>
      <c r="E35" s="115">
        <f t="shared" si="10"/>
        <v>2.6681330135637085E-2</v>
      </c>
      <c r="F35" s="26"/>
      <c r="G35" s="29">
        <v>14414.89</v>
      </c>
      <c r="H35" s="115">
        <f t="shared" si="11"/>
        <v>2.3173428756394845E-2</v>
      </c>
      <c r="I35" s="26"/>
      <c r="J35" s="35">
        <f>IF(ISERROR(VLOOKUP(A35,'[1]FY2009 Actual'!$C$8:$L$54,10, FALSE)),0,VLOOKUP(A35,'[1]FY2009 Actual'!$C$8:$L$54,10, FALSE))</f>
        <v>0</v>
      </c>
      <c r="K35" s="30" t="e">
        <f t="shared" si="17"/>
        <v>#DIV/0!</v>
      </c>
      <c r="L35" s="26"/>
      <c r="M35" s="110">
        <f>IF(ISERROR(VLOOKUP(A35,'[1]FY2010 Actual'!$C$8:$L$54,10, FALSE)),0,VLOOKUP(A35,'[1]FY2010 Actual'!$C$8:$L$54,10, FALSE))</f>
        <v>0</v>
      </c>
      <c r="N35" s="30" t="e">
        <f t="shared" si="12"/>
        <v>#DIV/0!</v>
      </c>
      <c r="O35" s="26"/>
      <c r="P35" s="110">
        <f>IF(ISERROR(VLOOKUP(A35,'[1]FY2011 Budget'!$C$8:$L$54,10, FALSE)),0,VLOOKUP(A35,'[1]FY2011 Budget'!$C$8:$L$54,10, FALSE))</f>
        <v>0</v>
      </c>
      <c r="Q35" s="36" t="e">
        <f t="shared" si="18"/>
        <v>#DIV/0!</v>
      </c>
      <c r="R35" s="26"/>
      <c r="S35" s="110">
        <f>IF(ISERROR(VLOOKUP(A35,'[1]FY2012 Budget'!$C$8:$L$54,10, FALSE)),0,VLOOKUP(A35,'[1]FY2012 Budget'!$C$8:$L$54,10, FALSE))</f>
        <v>0</v>
      </c>
      <c r="T35" s="36" t="e">
        <f t="shared" si="19"/>
        <v>#DIV/0!</v>
      </c>
      <c r="U35" s="26"/>
      <c r="V35" s="110">
        <f t="shared" si="13"/>
        <v>0</v>
      </c>
      <c r="W35" s="111" t="e">
        <f t="shared" si="14"/>
        <v>#DIV/0!</v>
      </c>
      <c r="X35" s="26"/>
      <c r="Y35" s="116">
        <f t="shared" si="15"/>
        <v>0</v>
      </c>
      <c r="Z35" s="117" t="e">
        <f t="shared" si="16"/>
        <v>#DIV/0!</v>
      </c>
    </row>
    <row r="36" spans="1:26" s="25" customFormat="1">
      <c r="A36" s="27">
        <v>4430</v>
      </c>
      <c r="B36" s="28" t="s">
        <v>36</v>
      </c>
      <c r="C36" s="26"/>
      <c r="D36" s="29">
        <v>1594.77</v>
      </c>
      <c r="E36" s="115">
        <f t="shared" si="10"/>
        <v>2.5155830905721592E-3</v>
      </c>
      <c r="F36" s="26"/>
      <c r="G36" s="29">
        <v>1464</v>
      </c>
      <c r="H36" s="115">
        <f t="shared" si="11"/>
        <v>2.3535316398087015E-3</v>
      </c>
      <c r="I36" s="26"/>
      <c r="J36" s="35">
        <f>IF(ISERROR(VLOOKUP(A36,'[1]FY2009 Actual'!$C$8:$L$54,10, FALSE)),0,VLOOKUP(A36,'[1]FY2009 Actual'!$C$8:$L$54,10, FALSE))</f>
        <v>0</v>
      </c>
      <c r="K36" s="30" t="e">
        <f t="shared" si="17"/>
        <v>#DIV/0!</v>
      </c>
      <c r="L36" s="26"/>
      <c r="M36" s="110">
        <f>IF(ISERROR(VLOOKUP(A36,'[1]FY2010 Actual'!$C$8:$L$54,10, FALSE)),0,VLOOKUP(A36,'[1]FY2010 Actual'!$C$8:$L$54,10, FALSE))</f>
        <v>0</v>
      </c>
      <c r="N36" s="30" t="e">
        <f t="shared" si="12"/>
        <v>#DIV/0!</v>
      </c>
      <c r="O36" s="26"/>
      <c r="P36" s="110">
        <f>IF(ISERROR(VLOOKUP(A36,'[1]FY2011 Budget'!$C$8:$L$54,10, FALSE)),0,VLOOKUP(A36,'[1]FY2011 Budget'!$C$8:$L$54,10, FALSE))</f>
        <v>0</v>
      </c>
      <c r="Q36" s="36" t="e">
        <f t="shared" si="18"/>
        <v>#DIV/0!</v>
      </c>
      <c r="R36" s="26"/>
      <c r="S36" s="110">
        <f>IF(ISERROR(VLOOKUP(A36,'[1]FY2012 Budget'!$C$8:$L$54,10, FALSE)),0,VLOOKUP(A36,'[1]FY2012 Budget'!$C$8:$L$54,10, FALSE))</f>
        <v>0</v>
      </c>
      <c r="T36" s="36" t="e">
        <f t="shared" si="19"/>
        <v>#DIV/0!</v>
      </c>
      <c r="U36" s="26"/>
      <c r="V36" s="110">
        <f t="shared" si="13"/>
        <v>0</v>
      </c>
      <c r="W36" s="111" t="e">
        <f t="shared" si="14"/>
        <v>#DIV/0!</v>
      </c>
      <c r="X36" s="26"/>
      <c r="Y36" s="116">
        <f t="shared" si="15"/>
        <v>0</v>
      </c>
      <c r="Z36" s="117" t="e">
        <f t="shared" si="16"/>
        <v>#DIV/0!</v>
      </c>
    </row>
    <row r="37" spans="1:26" s="25" customFormat="1">
      <c r="A37" s="27">
        <v>4450</v>
      </c>
      <c r="B37" s="28" t="s">
        <v>13</v>
      </c>
      <c r="C37" s="26"/>
      <c r="D37" s="29">
        <v>54333.27</v>
      </c>
      <c r="E37" s="115">
        <f t="shared" si="10"/>
        <v>8.5705057950357461E-2</v>
      </c>
      <c r="F37" s="26"/>
      <c r="G37" s="29">
        <v>39109.440000000002</v>
      </c>
      <c r="H37" s="115">
        <f t="shared" si="11"/>
        <v>6.2872475720765042E-2</v>
      </c>
      <c r="I37" s="26"/>
      <c r="J37" s="35">
        <f>IF(ISERROR(VLOOKUP(A37,'[1]FY2009 Actual'!$C$8:$L$54,10, FALSE)),0,VLOOKUP(A37,'[1]FY2009 Actual'!$C$8:$L$54,10, FALSE))</f>
        <v>0</v>
      </c>
      <c r="K37" s="30" t="e">
        <f t="shared" si="17"/>
        <v>#DIV/0!</v>
      </c>
      <c r="L37" s="26"/>
      <c r="M37" s="110">
        <f>IF(ISERROR(VLOOKUP(A37,'[1]FY2010 Actual'!$C$8:$L$54,10, FALSE)),0,VLOOKUP(A37,'[1]FY2010 Actual'!$C$8:$L$54,10, FALSE))</f>
        <v>0</v>
      </c>
      <c r="N37" s="30" t="e">
        <f t="shared" si="12"/>
        <v>#DIV/0!</v>
      </c>
      <c r="O37" s="26"/>
      <c r="P37" s="110">
        <f>IF(ISERROR(VLOOKUP(A37,'[1]FY2011 Budget'!$C$8:$L$54,10, FALSE)),0,VLOOKUP(A37,'[1]FY2011 Budget'!$C$8:$L$54,10, FALSE))</f>
        <v>0</v>
      </c>
      <c r="Q37" s="36" t="e">
        <f t="shared" si="18"/>
        <v>#DIV/0!</v>
      </c>
      <c r="R37" s="26"/>
      <c r="S37" s="110">
        <f>IF(ISERROR(VLOOKUP(A37,'[1]FY2012 Budget'!$C$8:$L$54,10, FALSE)),0,VLOOKUP(A37,'[1]FY2012 Budget'!$C$8:$L$54,10, FALSE))</f>
        <v>0</v>
      </c>
      <c r="T37" s="36" t="e">
        <f t="shared" si="19"/>
        <v>#DIV/0!</v>
      </c>
      <c r="U37" s="26"/>
      <c r="V37" s="110">
        <f t="shared" si="13"/>
        <v>0</v>
      </c>
      <c r="W37" s="111" t="e">
        <f t="shared" si="14"/>
        <v>#DIV/0!</v>
      </c>
      <c r="X37" s="26"/>
      <c r="Y37" s="116">
        <f t="shared" si="15"/>
        <v>0</v>
      </c>
      <c r="Z37" s="117" t="e">
        <f t="shared" si="16"/>
        <v>#DIV/0!</v>
      </c>
    </row>
    <row r="38" spans="1:26" s="25" customFormat="1">
      <c r="A38" s="27">
        <v>4550</v>
      </c>
      <c r="B38" s="28" t="s">
        <v>37</v>
      </c>
      <c r="C38" s="26"/>
      <c r="D38" s="29">
        <v>8616.02</v>
      </c>
      <c r="E38" s="115">
        <f t="shared" si="10"/>
        <v>1.3590871548895161E-2</v>
      </c>
      <c r="F38" s="26"/>
      <c r="G38" s="29">
        <v>6341.47</v>
      </c>
      <c r="H38" s="115">
        <f t="shared" si="11"/>
        <v>1.0194569868782572E-2</v>
      </c>
      <c r="I38" s="26"/>
      <c r="J38" s="35">
        <f>IF(ISERROR(VLOOKUP(A38,'[1]FY2009 Actual'!$C$8:$L$54,10, FALSE)),0,VLOOKUP(A38,'[1]FY2009 Actual'!$C$8:$L$54,10, FALSE))</f>
        <v>0</v>
      </c>
      <c r="K38" s="30" t="e">
        <f t="shared" si="17"/>
        <v>#DIV/0!</v>
      </c>
      <c r="L38" s="26"/>
      <c r="M38" s="110">
        <f>IF(ISERROR(VLOOKUP(A38,'[1]FY2010 Actual'!$C$8:$L$54,10, FALSE)),0,VLOOKUP(A38,'[1]FY2010 Actual'!$C$8:$L$54,10, FALSE))</f>
        <v>0</v>
      </c>
      <c r="N38" s="30" t="e">
        <f t="shared" si="12"/>
        <v>#DIV/0!</v>
      </c>
      <c r="O38" s="26"/>
      <c r="P38" s="110">
        <f>IF(ISERROR(VLOOKUP(A38,'[1]FY2011 Budget'!$C$8:$L$54,10, FALSE)),0,VLOOKUP(A38,'[1]FY2011 Budget'!$C$8:$L$54,10, FALSE))</f>
        <v>0</v>
      </c>
      <c r="Q38" s="36" t="e">
        <f t="shared" si="18"/>
        <v>#DIV/0!</v>
      </c>
      <c r="R38" s="26"/>
      <c r="S38" s="110">
        <f>IF(ISERROR(VLOOKUP(A38,'[1]FY2012 Budget'!$C$8:$L$54,10, FALSE)),0,VLOOKUP(A38,'[1]FY2012 Budget'!$C$8:$L$54,10, FALSE))</f>
        <v>0</v>
      </c>
      <c r="T38" s="36" t="e">
        <f t="shared" si="19"/>
        <v>#DIV/0!</v>
      </c>
      <c r="U38" s="26"/>
      <c r="V38" s="110">
        <f t="shared" si="13"/>
        <v>0</v>
      </c>
      <c r="W38" s="111"/>
      <c r="X38" s="26"/>
      <c r="Y38" s="116">
        <f t="shared" si="15"/>
        <v>0</v>
      </c>
      <c r="Z38" s="117"/>
    </row>
    <row r="39" spans="1:26" s="25" customFormat="1">
      <c r="A39" s="27">
        <v>4600</v>
      </c>
      <c r="B39" s="28" t="s">
        <v>14</v>
      </c>
      <c r="C39" s="26"/>
      <c r="D39" s="29">
        <v>0</v>
      </c>
      <c r="E39" s="115">
        <f t="shared" si="10"/>
        <v>0</v>
      </c>
      <c r="F39" s="26"/>
      <c r="G39" s="29">
        <v>0</v>
      </c>
      <c r="H39" s="115">
        <f t="shared" si="11"/>
        <v>0</v>
      </c>
      <c r="I39" s="26"/>
      <c r="J39" s="35">
        <f>IF(ISERROR(VLOOKUP(A39,'[1]FY2009 Actual'!$C$8:$L$54,10, FALSE)),0,VLOOKUP(A39,'[1]FY2009 Actual'!$C$8:$L$54,10, FALSE))</f>
        <v>0</v>
      </c>
      <c r="K39" s="30" t="e">
        <f t="shared" si="17"/>
        <v>#DIV/0!</v>
      </c>
      <c r="L39" s="26"/>
      <c r="M39" s="110">
        <f>IF(ISERROR(VLOOKUP(A39,'[1]FY2010 Actual'!$C$8:$L$54,10, FALSE)),0,VLOOKUP(A39,'[1]FY2010 Actual'!$C$8:$L$54,10, FALSE))</f>
        <v>0</v>
      </c>
      <c r="N39" s="30" t="e">
        <f t="shared" si="12"/>
        <v>#DIV/0!</v>
      </c>
      <c r="O39" s="26"/>
      <c r="P39" s="110">
        <f>IF(ISERROR(VLOOKUP(A39,'[1]FY2011 Budget'!$C$8:$L$54,10, FALSE)),0,VLOOKUP(A39,'[1]FY2011 Budget'!$C$8:$L$54,10, FALSE))</f>
        <v>0</v>
      </c>
      <c r="Q39" s="36" t="e">
        <f t="shared" si="18"/>
        <v>#DIV/0!</v>
      </c>
      <c r="R39" s="26"/>
      <c r="S39" s="110">
        <f>IF(ISERROR(VLOOKUP(A39,'[1]FY2012 Budget'!$C$8:$L$54,10, FALSE)),0,VLOOKUP(A39,'[1]FY2012 Budget'!$C$8:$L$54,10, FALSE))</f>
        <v>0</v>
      </c>
      <c r="T39" s="36" t="e">
        <f t="shared" si="19"/>
        <v>#DIV/0!</v>
      </c>
      <c r="U39" s="26"/>
      <c r="V39" s="110">
        <f t="shared" si="13"/>
        <v>0</v>
      </c>
      <c r="W39" s="111"/>
      <c r="X39" s="26"/>
      <c r="Y39" s="116">
        <f t="shared" si="15"/>
        <v>0</v>
      </c>
      <c r="Z39" s="117"/>
    </row>
    <row r="40" spans="1:26" s="25" customFormat="1">
      <c r="A40" s="27">
        <v>4650</v>
      </c>
      <c r="B40" s="28" t="s">
        <v>15</v>
      </c>
      <c r="C40" s="26"/>
      <c r="D40" s="29">
        <v>11177.23</v>
      </c>
      <c r="E40" s="115">
        <f t="shared" si="10"/>
        <v>1.7630912788324245E-2</v>
      </c>
      <c r="F40" s="26"/>
      <c r="G40" s="29">
        <v>9463.9599999999991</v>
      </c>
      <c r="H40" s="115">
        <f t="shared" si="11"/>
        <v>1.521429596849997E-2</v>
      </c>
      <c r="I40" s="26"/>
      <c r="J40" s="35">
        <f>IF(ISERROR(VLOOKUP(A40,'[1]FY2009 Actual'!$C$8:$L$54,10, FALSE)),0,VLOOKUP(A40,'[1]FY2009 Actual'!$C$8:$L$54,10, FALSE))</f>
        <v>0</v>
      </c>
      <c r="K40" s="30" t="e">
        <f t="shared" si="17"/>
        <v>#DIV/0!</v>
      </c>
      <c r="L40" s="26"/>
      <c r="M40" s="110">
        <f>IF(ISERROR(VLOOKUP(A40,'[1]FY2010 Actual'!$C$8:$L$54,10, FALSE)),0,VLOOKUP(A40,'[1]FY2010 Actual'!$C$8:$L$54,10, FALSE))</f>
        <v>0</v>
      </c>
      <c r="N40" s="30" t="e">
        <f t="shared" si="12"/>
        <v>#DIV/0!</v>
      </c>
      <c r="O40" s="26"/>
      <c r="P40" s="110">
        <f>IF(ISERROR(VLOOKUP(A40,'[1]FY2011 Budget'!$C$8:$L$54,10, FALSE)),0,VLOOKUP(A40,'[1]FY2011 Budget'!$C$8:$L$54,10, FALSE))</f>
        <v>0</v>
      </c>
      <c r="Q40" s="36" t="e">
        <f t="shared" si="18"/>
        <v>#DIV/0!</v>
      </c>
      <c r="R40" s="26"/>
      <c r="S40" s="110">
        <f>IF(ISERROR(VLOOKUP(A40,'[1]FY2012 Budget'!$C$8:$L$54,10, FALSE)),0,VLOOKUP(A40,'[1]FY2012 Budget'!$C$8:$L$54,10, FALSE))</f>
        <v>0</v>
      </c>
      <c r="T40" s="36" t="e">
        <f t="shared" si="19"/>
        <v>#DIV/0!</v>
      </c>
      <c r="U40" s="26"/>
      <c r="V40" s="110">
        <f t="shared" si="13"/>
        <v>0</v>
      </c>
      <c r="W40" s="111" t="e">
        <f t="shared" si="14"/>
        <v>#DIV/0!</v>
      </c>
      <c r="X40" s="26"/>
      <c r="Y40" s="116">
        <f t="shared" si="15"/>
        <v>0</v>
      </c>
      <c r="Z40" s="117" t="e">
        <f t="shared" si="16"/>
        <v>#DIV/0!</v>
      </c>
    </row>
    <row r="41" spans="1:26" s="25" customFormat="1">
      <c r="A41" s="27">
        <v>4700</v>
      </c>
      <c r="B41" s="28" t="s">
        <v>16</v>
      </c>
      <c r="C41" s="26"/>
      <c r="D41" s="29">
        <v>8667.57</v>
      </c>
      <c r="E41" s="115">
        <f t="shared" si="10"/>
        <v>1.3672186289151745E-2</v>
      </c>
      <c r="F41" s="26"/>
      <c r="G41" s="29">
        <v>9075.2999999999993</v>
      </c>
      <c r="H41" s="115">
        <f t="shared" si="11"/>
        <v>1.4589484761445292E-2</v>
      </c>
      <c r="I41" s="26"/>
      <c r="J41" s="35">
        <f>IF(ISERROR(VLOOKUP(A41,'[1]FY2009 Actual'!$C$8:$L$54,10, FALSE)),0,VLOOKUP(A41,'[1]FY2009 Actual'!$C$8:$L$54,10, FALSE))</f>
        <v>0</v>
      </c>
      <c r="K41" s="30" t="e">
        <f t="shared" si="17"/>
        <v>#DIV/0!</v>
      </c>
      <c r="L41" s="26"/>
      <c r="M41" s="110">
        <f>IF(ISERROR(VLOOKUP(A41,'[1]FY2010 Actual'!$C$8:$L$54,10, FALSE)),0,VLOOKUP(A41,'[1]FY2010 Actual'!$C$8:$L$54,10, FALSE))</f>
        <v>0</v>
      </c>
      <c r="N41" s="30" t="e">
        <f t="shared" si="12"/>
        <v>#DIV/0!</v>
      </c>
      <c r="O41" s="26"/>
      <c r="P41" s="110">
        <f>IF(ISERROR(VLOOKUP(A41,'[1]FY2011 Budget'!$C$8:$L$54,10, FALSE)),0,VLOOKUP(A41,'[1]FY2011 Budget'!$C$8:$L$54,10, FALSE))</f>
        <v>0</v>
      </c>
      <c r="Q41" s="36" t="e">
        <f t="shared" si="18"/>
        <v>#DIV/0!</v>
      </c>
      <c r="R41" s="26"/>
      <c r="S41" s="110">
        <f>IF(ISERROR(VLOOKUP(A41,'[1]FY2012 Budget'!$C$8:$L$54,10, FALSE)),0,VLOOKUP(A41,'[1]FY2012 Budget'!$C$8:$L$54,10, FALSE))</f>
        <v>0</v>
      </c>
      <c r="T41" s="36" t="e">
        <f t="shared" si="19"/>
        <v>#DIV/0!</v>
      </c>
      <c r="U41" s="26"/>
      <c r="V41" s="110">
        <f t="shared" si="13"/>
        <v>0</v>
      </c>
      <c r="W41" s="111" t="e">
        <f t="shared" si="14"/>
        <v>#DIV/0!</v>
      </c>
      <c r="X41" s="26"/>
      <c r="Y41" s="116">
        <f t="shared" si="15"/>
        <v>0</v>
      </c>
      <c r="Z41" s="117" t="e">
        <f t="shared" si="16"/>
        <v>#DIV/0!</v>
      </c>
    </row>
    <row r="42" spans="1:26" s="25" customFormat="1">
      <c r="A42" s="27">
        <v>4750</v>
      </c>
      <c r="B42" s="28" t="s">
        <v>17</v>
      </c>
      <c r="C42" s="26"/>
      <c r="D42" s="29">
        <v>42384</v>
      </c>
      <c r="E42" s="115">
        <f t="shared" si="10"/>
        <v>6.6856332706791824E-2</v>
      </c>
      <c r="F42" s="26"/>
      <c r="G42" s="29">
        <v>42834</v>
      </c>
      <c r="H42" s="115">
        <f t="shared" si="11"/>
        <v>6.8860091707353771E-2</v>
      </c>
      <c r="I42" s="26"/>
      <c r="J42" s="35">
        <f>IF(ISERROR(VLOOKUP(A42,'[1]FY2009 Actual'!$C$8:$L$54,10, FALSE)),0,VLOOKUP(A42,'[1]FY2009 Actual'!$C$8:$L$54,10, FALSE))</f>
        <v>0</v>
      </c>
      <c r="K42" s="30" t="e">
        <f t="shared" si="17"/>
        <v>#DIV/0!</v>
      </c>
      <c r="L42" s="26"/>
      <c r="M42" s="110">
        <f>IF(ISERROR(VLOOKUP(A42,'[1]FY2010 Actual'!$C$8:$L$54,10, FALSE)),0,VLOOKUP(A42,'[1]FY2010 Actual'!$C$8:$L$54,10, FALSE))</f>
        <v>0</v>
      </c>
      <c r="N42" s="30" t="e">
        <f t="shared" si="12"/>
        <v>#DIV/0!</v>
      </c>
      <c r="O42" s="26"/>
      <c r="P42" s="110">
        <f>IF(ISERROR(VLOOKUP(A42,'[1]FY2011 Budget'!$C$8:$L$54,10, FALSE)),0,VLOOKUP(A42,'[1]FY2011 Budget'!$C$8:$L$54,10, FALSE))</f>
        <v>0</v>
      </c>
      <c r="Q42" s="36" t="e">
        <f t="shared" si="18"/>
        <v>#DIV/0!</v>
      </c>
      <c r="R42" s="26"/>
      <c r="S42" s="110">
        <f>IF(ISERROR(VLOOKUP(A42,'[1]FY2012 Budget'!$C$8:$L$54,10, FALSE)),0,VLOOKUP(A42,'[1]FY2012 Budget'!$C$8:$L$54,10, FALSE))</f>
        <v>0</v>
      </c>
      <c r="T42" s="36" t="e">
        <f t="shared" si="19"/>
        <v>#DIV/0!</v>
      </c>
      <c r="U42" s="26"/>
      <c r="V42" s="110">
        <f t="shared" si="13"/>
        <v>0</v>
      </c>
      <c r="W42" s="111" t="e">
        <f t="shared" si="14"/>
        <v>#DIV/0!</v>
      </c>
      <c r="X42" s="26"/>
      <c r="Y42" s="116">
        <f t="shared" si="15"/>
        <v>0</v>
      </c>
      <c r="Z42" s="117" t="e">
        <f t="shared" si="16"/>
        <v>#DIV/0!</v>
      </c>
    </row>
    <row r="43" spans="1:26" s="25" customFormat="1">
      <c r="A43" s="27">
        <v>4760</v>
      </c>
      <c r="B43" s="28" t="s">
        <v>18</v>
      </c>
      <c r="C43" s="26"/>
      <c r="D43" s="29">
        <v>15578.75</v>
      </c>
      <c r="E43" s="115">
        <f t="shared" si="10"/>
        <v>2.4573850820024848E-2</v>
      </c>
      <c r="F43" s="26"/>
      <c r="G43" s="29">
        <v>18500</v>
      </c>
      <c r="H43" s="115">
        <f t="shared" si="11"/>
        <v>2.9740666213429631E-2</v>
      </c>
      <c r="I43" s="26"/>
      <c r="J43" s="35">
        <f>IF(ISERROR(VLOOKUP(A43,'[1]FY2009 Actual'!$C$8:$L$54,10, FALSE)),0,VLOOKUP(A43,'[1]FY2009 Actual'!$C$8:$L$54,10, FALSE))</f>
        <v>0</v>
      </c>
      <c r="K43" s="30" t="e">
        <f t="shared" si="17"/>
        <v>#DIV/0!</v>
      </c>
      <c r="L43" s="26"/>
      <c r="M43" s="110">
        <f>IF(ISERROR(VLOOKUP(A43,'[1]FY2010 Actual'!$C$8:$L$54,10, FALSE)),0,VLOOKUP(A43,'[1]FY2010 Actual'!$C$8:$L$54,10, FALSE))</f>
        <v>0</v>
      </c>
      <c r="N43" s="30" t="e">
        <f t="shared" si="12"/>
        <v>#DIV/0!</v>
      </c>
      <c r="O43" s="26"/>
      <c r="P43" s="110">
        <f>IF(ISERROR(VLOOKUP(A43,'[1]FY2011 Budget'!$C$8:$L$54,10, FALSE)),0,VLOOKUP(A43,'[1]FY2011 Budget'!$C$8:$L$54,10, FALSE))</f>
        <v>0</v>
      </c>
      <c r="Q43" s="36" t="e">
        <f t="shared" si="18"/>
        <v>#DIV/0!</v>
      </c>
      <c r="R43" s="26"/>
      <c r="S43" s="110">
        <f>IF(ISERROR(VLOOKUP(A43,'[1]FY2012 Budget'!$C$8:$L$54,10, FALSE)),0,VLOOKUP(A43,'[1]FY2012 Budget'!$C$8:$L$54,10, FALSE))</f>
        <v>0</v>
      </c>
      <c r="T43" s="36" t="e">
        <f t="shared" si="19"/>
        <v>#DIV/0!</v>
      </c>
      <c r="U43" s="26"/>
      <c r="V43" s="110">
        <f t="shared" si="13"/>
        <v>0</v>
      </c>
      <c r="W43" s="111" t="e">
        <f t="shared" si="14"/>
        <v>#DIV/0!</v>
      </c>
      <c r="X43" s="26"/>
      <c r="Y43" s="116">
        <f t="shared" si="15"/>
        <v>0</v>
      </c>
      <c r="Z43" s="117" t="e">
        <f t="shared" si="16"/>
        <v>#DIV/0!</v>
      </c>
    </row>
    <row r="44" spans="1:26" s="25" customFormat="1">
      <c r="A44" s="27">
        <v>4780</v>
      </c>
      <c r="B44" s="28" t="s">
        <v>38</v>
      </c>
      <c r="C44" s="26"/>
      <c r="D44" s="29">
        <v>22691</v>
      </c>
      <c r="E44" s="115">
        <f t="shared" si="10"/>
        <v>3.5792682272787216E-2</v>
      </c>
      <c r="F44" s="26"/>
      <c r="G44" s="29">
        <v>17193</v>
      </c>
      <c r="H44" s="115">
        <f t="shared" si="11"/>
        <v>2.7639528335540304E-2</v>
      </c>
      <c r="I44" s="26"/>
      <c r="J44" s="35">
        <f>IF(ISERROR(VLOOKUP(A44,'[1]FY2009 Actual'!$C$8:$L$54,10, FALSE)),0,VLOOKUP(A44,'[1]FY2009 Actual'!$C$8:$L$54,10, FALSE))</f>
        <v>0</v>
      </c>
      <c r="K44" s="30" t="e">
        <f t="shared" si="17"/>
        <v>#DIV/0!</v>
      </c>
      <c r="L44" s="26"/>
      <c r="M44" s="110">
        <f>IF(ISERROR(VLOOKUP(A44,'[1]FY2010 Actual'!$C$8:$L$54,10, FALSE)),0,VLOOKUP(A44,'[1]FY2010 Actual'!$C$8:$L$54,10, FALSE))</f>
        <v>0</v>
      </c>
      <c r="N44" s="30" t="e">
        <f t="shared" si="12"/>
        <v>#DIV/0!</v>
      </c>
      <c r="O44" s="26"/>
      <c r="P44" s="110">
        <f>IF(ISERROR(VLOOKUP(A44,'[1]FY2011 Budget'!$C$8:$L$54,10, FALSE)),0,VLOOKUP(A44,'[1]FY2011 Budget'!$C$8:$L$54,10, FALSE))</f>
        <v>0</v>
      </c>
      <c r="Q44" s="36" t="e">
        <f t="shared" si="18"/>
        <v>#DIV/0!</v>
      </c>
      <c r="R44" s="26"/>
      <c r="S44" s="110">
        <f>IF(ISERROR(VLOOKUP(A44,'[1]FY2012 Budget'!$C$8:$L$54,10, FALSE)),0,VLOOKUP(A44,'[1]FY2012 Budget'!$C$8:$L$54,10, FALSE))</f>
        <v>0</v>
      </c>
      <c r="T44" s="36" t="e">
        <f t="shared" si="19"/>
        <v>#DIV/0!</v>
      </c>
      <c r="U44" s="26"/>
      <c r="V44" s="110">
        <f t="shared" si="13"/>
        <v>0</v>
      </c>
      <c r="W44" s="111" t="e">
        <f t="shared" si="14"/>
        <v>#DIV/0!</v>
      </c>
      <c r="X44" s="26"/>
      <c r="Y44" s="116">
        <f t="shared" si="15"/>
        <v>0</v>
      </c>
      <c r="Z44" s="117" t="e">
        <f t="shared" si="16"/>
        <v>#DIV/0!</v>
      </c>
    </row>
    <row r="45" spans="1:26" s="25" customFormat="1">
      <c r="A45" s="27">
        <v>4790</v>
      </c>
      <c r="B45" s="28" t="s">
        <v>39</v>
      </c>
      <c r="C45" s="26"/>
      <c r="D45" s="29">
        <v>1000</v>
      </c>
      <c r="E45" s="115">
        <f t="shared" si="10"/>
        <v>1.5773955432897278E-3</v>
      </c>
      <c r="F45" s="26"/>
      <c r="G45" s="29">
        <v>0</v>
      </c>
      <c r="H45" s="115">
        <f t="shared" si="11"/>
        <v>0</v>
      </c>
      <c r="I45" s="26"/>
      <c r="J45" s="35">
        <f>IF(ISERROR(VLOOKUP(A45,'[1]FY2009 Actual'!$C$8:$L$54,10, FALSE)),0,VLOOKUP(A45,'[1]FY2009 Actual'!$C$8:$L$54,10, FALSE))</f>
        <v>0</v>
      </c>
      <c r="K45" s="30" t="e">
        <f t="shared" si="17"/>
        <v>#DIV/0!</v>
      </c>
      <c r="L45" s="26"/>
      <c r="M45" s="110">
        <f>IF(ISERROR(VLOOKUP(A45,'[1]FY2010 Actual'!$C$8:$L$54,10, FALSE)),0,VLOOKUP(A45,'[1]FY2010 Actual'!$C$8:$L$54,10, FALSE))</f>
        <v>0</v>
      </c>
      <c r="N45" s="30" t="e">
        <f t="shared" si="12"/>
        <v>#DIV/0!</v>
      </c>
      <c r="O45" s="26"/>
      <c r="P45" s="110">
        <f>IF(ISERROR(VLOOKUP(A45,'[1]FY2011 Budget'!$C$8:$L$54,10, FALSE)),0,VLOOKUP(A45,'[1]FY2011 Budget'!$C$8:$L$54,10, FALSE))</f>
        <v>0</v>
      </c>
      <c r="Q45" s="36" t="e">
        <f t="shared" si="18"/>
        <v>#DIV/0!</v>
      </c>
      <c r="R45" s="26"/>
      <c r="S45" s="110">
        <f>IF(ISERROR(VLOOKUP(A45,'[1]FY2012 Budget'!$C$8:$L$54,10, FALSE)),0,VLOOKUP(A45,'[1]FY2012 Budget'!$C$8:$L$54,10, FALSE))</f>
        <v>0</v>
      </c>
      <c r="T45" s="36" t="e">
        <f t="shared" si="19"/>
        <v>#DIV/0!</v>
      </c>
      <c r="U45" s="26"/>
      <c r="V45" s="110">
        <f t="shared" si="13"/>
        <v>0</v>
      </c>
      <c r="W45" s="111" t="e">
        <f t="shared" si="14"/>
        <v>#DIV/0!</v>
      </c>
      <c r="X45" s="26"/>
      <c r="Y45" s="116">
        <f t="shared" si="15"/>
        <v>0</v>
      </c>
      <c r="Z45" s="117" t="e">
        <f t="shared" si="16"/>
        <v>#DIV/0!</v>
      </c>
    </row>
    <row r="46" spans="1:26" s="25" customFormat="1">
      <c r="A46" s="27">
        <v>4800</v>
      </c>
      <c r="B46" s="28" t="s">
        <v>40</v>
      </c>
      <c r="C46" s="26"/>
      <c r="D46" s="29">
        <v>13937.97</v>
      </c>
      <c r="E46" s="115">
        <f t="shared" si="10"/>
        <v>2.1985691760505927E-2</v>
      </c>
      <c r="F46" s="26"/>
      <c r="G46" s="29">
        <v>26952.9</v>
      </c>
      <c r="H46" s="115">
        <f t="shared" si="11"/>
        <v>4.3329578507240403E-2</v>
      </c>
      <c r="I46" s="26"/>
      <c r="J46" s="35">
        <f>IF(ISERROR(VLOOKUP(A46,'[1]FY2009 Actual'!$C$8:$L$54,10, FALSE)),0,VLOOKUP(A46,'[1]FY2009 Actual'!$C$8:$L$54,10, FALSE))</f>
        <v>0</v>
      </c>
      <c r="K46" s="30" t="e">
        <f t="shared" si="17"/>
        <v>#DIV/0!</v>
      </c>
      <c r="L46" s="26"/>
      <c r="M46" s="110">
        <f>IF(ISERROR(VLOOKUP(A46,'[1]FY2010 Actual'!$C$8:$L$54,10, FALSE)),0,VLOOKUP(A46,'[1]FY2010 Actual'!$C$8:$L$54,10, FALSE))</f>
        <v>0</v>
      </c>
      <c r="N46" s="30" t="e">
        <f t="shared" si="12"/>
        <v>#DIV/0!</v>
      </c>
      <c r="O46" s="26"/>
      <c r="P46" s="110">
        <f>IF(ISERROR(VLOOKUP(A46,'[1]FY2011 Budget'!$C$8:$L$54,10, FALSE)),0,VLOOKUP(A46,'[1]FY2011 Budget'!$C$8:$L$54,10, FALSE))</f>
        <v>0</v>
      </c>
      <c r="Q46" s="36" t="e">
        <f t="shared" si="18"/>
        <v>#DIV/0!</v>
      </c>
      <c r="R46" s="26"/>
      <c r="S46" s="110">
        <f>IF(ISERROR(VLOOKUP(A46,'[1]FY2012 Budget'!$C$8:$L$54,10, FALSE)),0,VLOOKUP(A46,'[1]FY2012 Budget'!$C$8:$L$54,10, FALSE))</f>
        <v>0</v>
      </c>
      <c r="T46" s="36" t="e">
        <f t="shared" si="19"/>
        <v>#DIV/0!</v>
      </c>
      <c r="U46" s="26"/>
      <c r="V46" s="110">
        <f t="shared" si="13"/>
        <v>0</v>
      </c>
      <c r="W46" s="111" t="e">
        <f t="shared" si="14"/>
        <v>#DIV/0!</v>
      </c>
      <c r="X46" s="26"/>
      <c r="Y46" s="116">
        <f>P46-M46</f>
        <v>0</v>
      </c>
      <c r="Z46" s="117" t="e">
        <f>(P46-M46)/M46</f>
        <v>#DIV/0!</v>
      </c>
    </row>
    <row r="48" spans="1:26" s="53" customFormat="1" ht="14" thickBot="1">
      <c r="B48" s="46" t="s">
        <v>20</v>
      </c>
      <c r="C48" s="57"/>
      <c r="D48" s="50">
        <f>SUM(D24:D47)</f>
        <v>633956.4</v>
      </c>
      <c r="E48" s="112">
        <f>SUM(E24:E47)</f>
        <v>1.0000000000000002</v>
      </c>
      <c r="F48" s="58"/>
      <c r="G48" s="50">
        <f>SUM(G24:G47)</f>
        <v>622043.9</v>
      </c>
      <c r="H48" s="112">
        <f>SUM(H24:H47)</f>
        <v>0.99999999999999989</v>
      </c>
      <c r="I48" s="58"/>
      <c r="J48" s="50">
        <f>SUM(J24:J47)</f>
        <v>0</v>
      </c>
      <c r="K48" s="59" t="e">
        <f>SUM(K24:K47)</f>
        <v>#DIV/0!</v>
      </c>
      <c r="L48" s="58"/>
      <c r="M48" s="113">
        <f>SUM(M24:M47)</f>
        <v>0</v>
      </c>
      <c r="N48" s="59" t="e">
        <f>SUM(N24:N47)</f>
        <v>#DIV/0!</v>
      </c>
      <c r="O48" s="58"/>
      <c r="P48" s="113">
        <f>SUM(P24:P47)</f>
        <v>0</v>
      </c>
      <c r="Q48" s="59" t="e">
        <f>SUM(Q24:Q47)</f>
        <v>#DIV/0!</v>
      </c>
      <c r="R48" s="58"/>
      <c r="S48" s="113">
        <f>SUM(S24:S47)</f>
        <v>0</v>
      </c>
      <c r="T48" s="59" t="e">
        <f>SUM(T24:T47)</f>
        <v>#DIV/0!</v>
      </c>
      <c r="U48" s="58"/>
      <c r="V48" s="113">
        <f>S48-P48</f>
        <v>0</v>
      </c>
      <c r="W48" s="114" t="e">
        <f>(S48-P48)/P48</f>
        <v>#DIV/0!</v>
      </c>
      <c r="X48" s="58"/>
      <c r="Y48" s="113">
        <f>P48-M48</f>
        <v>0</v>
      </c>
      <c r="Z48" s="114" t="e">
        <f>(P48-M48)/M48</f>
        <v>#DIV/0!</v>
      </c>
    </row>
    <row r="49" spans="1:26">
      <c r="C49" s="11"/>
      <c r="D49" s="37"/>
      <c r="E49" s="118"/>
      <c r="F49" s="10"/>
      <c r="G49" s="37"/>
      <c r="H49" s="118"/>
      <c r="I49" s="10"/>
      <c r="L49" s="10"/>
      <c r="O49" s="10"/>
      <c r="R49" s="10"/>
      <c r="U49" s="10"/>
      <c r="X49" s="10"/>
    </row>
    <row r="50" spans="1:26" s="20" customFormat="1" ht="14" thickBot="1">
      <c r="B50" s="9" t="s">
        <v>70</v>
      </c>
      <c r="C50" s="22"/>
      <c r="D50" s="38">
        <f>D20-D48</f>
        <v>-57384.570000000065</v>
      </c>
      <c r="E50" s="119"/>
      <c r="F50" s="21"/>
      <c r="G50" s="38">
        <f>G20-G48</f>
        <v>-32044.620000000112</v>
      </c>
      <c r="H50" s="119"/>
      <c r="I50" s="21"/>
      <c r="J50" s="38">
        <f>J20-J48</f>
        <v>0</v>
      </c>
      <c r="K50" s="39"/>
      <c r="L50" s="21"/>
      <c r="M50" s="120">
        <f>M20-M48</f>
        <v>0</v>
      </c>
      <c r="N50" s="39"/>
      <c r="O50" s="21"/>
      <c r="P50" s="120">
        <f>P20-P48</f>
        <v>0</v>
      </c>
      <c r="Q50" s="39"/>
      <c r="R50" s="21"/>
      <c r="S50" s="120">
        <f>S20-S48</f>
        <v>0</v>
      </c>
      <c r="T50" s="39"/>
      <c r="U50" s="21"/>
      <c r="V50" s="121">
        <f>S50-P50</f>
        <v>0</v>
      </c>
      <c r="W50" s="122" t="e">
        <f>(S50-P50)/P50</f>
        <v>#DIV/0!</v>
      </c>
      <c r="X50" s="21"/>
      <c r="Y50" s="121">
        <f>P50-M50</f>
        <v>0</v>
      </c>
      <c r="Z50" s="122" t="e">
        <f>(P50-M50)/M50</f>
        <v>#DIV/0!</v>
      </c>
    </row>
    <row r="51" spans="1:26" ht="14" thickTop="1"/>
    <row r="52" spans="1:26">
      <c r="A52" s="19" t="s">
        <v>69</v>
      </c>
      <c r="C52" s="17"/>
      <c r="D52" s="40"/>
      <c r="E52" s="123"/>
      <c r="F52" s="16"/>
      <c r="G52" s="40"/>
      <c r="H52" s="123"/>
      <c r="I52" s="16"/>
      <c r="K52" s="41"/>
      <c r="L52" s="16"/>
      <c r="N52" s="41"/>
      <c r="O52" s="16"/>
      <c r="Q52" s="41"/>
      <c r="R52" s="16"/>
      <c r="T52" s="41"/>
      <c r="U52" s="16"/>
      <c r="X52" s="16"/>
    </row>
    <row r="53" spans="1:26">
      <c r="A53" s="18"/>
      <c r="C53" s="17"/>
      <c r="D53" s="40"/>
      <c r="E53" s="123"/>
      <c r="F53" s="16"/>
      <c r="G53" s="40"/>
      <c r="H53" s="123"/>
      <c r="I53" s="16"/>
      <c r="K53" s="41"/>
      <c r="L53" s="16"/>
      <c r="N53" s="41"/>
      <c r="O53" s="16"/>
      <c r="Q53" s="41"/>
      <c r="R53" s="16"/>
      <c r="T53" s="41"/>
      <c r="U53" s="16"/>
      <c r="X53" s="16"/>
    </row>
    <row r="54" spans="1:26">
      <c r="A54" s="15">
        <v>5000</v>
      </c>
      <c r="B54" s="12" t="s">
        <v>68</v>
      </c>
      <c r="J54" s="35">
        <f>IF(ISERROR(VLOOKUP(A54,'[2]C-1 Page 6'!$E$10:$F$25,2, FALSE)),0,VLOOKUP(A54,'[2]C-1 Page 6'!$E$10:$F$25,2, FALSE))</f>
        <v>0</v>
      </c>
      <c r="K54" s="41"/>
      <c r="M54" s="110">
        <f>IF(ISERROR(VLOOKUP(A54,'[3]Budget (Revised)'!A$1:G$65536,6, FALSE)),0,VLOOKUP(A54,'[3]Budget (Revised)'!A$1:G$65536,6, FALSE))</f>
        <v>0</v>
      </c>
      <c r="N54" s="41"/>
      <c r="P54" s="35">
        <f>IF(ISERROR(VLOOKUP(A54,'[4]C-1'!$C$9:$D$39,2, FALSE)),0,VLOOKUP(A54,'[4]C-1'!$C$9:$D$39,2, FALSE))</f>
        <v>0</v>
      </c>
      <c r="Q54" s="41"/>
      <c r="S54" s="35">
        <f>IF(ISERROR(VLOOKUP(D54,'[4]C-1'!$C$9:$D$39,2, FALSE)),0,VLOOKUP(D54,'[4]C-1'!$C$9:$D$39,2, FALSE))</f>
        <v>0</v>
      </c>
      <c r="T54" s="41"/>
      <c r="V54" s="116">
        <f t="shared" ref="V54:V64" si="20">M54-J54</f>
        <v>0</v>
      </c>
      <c r="W54" s="117"/>
      <c r="Y54" s="116">
        <f t="shared" ref="Y54:Y63" si="21">P54-M54</f>
        <v>0</v>
      </c>
      <c r="Z54" s="117"/>
    </row>
    <row r="55" spans="1:26">
      <c r="A55" s="15">
        <v>5010</v>
      </c>
      <c r="B55" s="12" t="s">
        <v>67</v>
      </c>
      <c r="J55" s="35">
        <f>IF(ISERROR(VLOOKUP(A55,'[2]C-1 Page 6'!$E$10:$F$25,2, FALSE)),0,VLOOKUP(A55,'[2]C-1 Page 6'!$E$10:$F$25,2, FALSE))</f>
        <v>0</v>
      </c>
      <c r="K55" s="41"/>
      <c r="M55" s="110">
        <f>IF(ISERROR(VLOOKUP(A55,'[3]Budget (Revised)'!A$1:G$65536,6, FALSE)),0,VLOOKUP(A55,'[3]Budget (Revised)'!A$1:G$65536,6, FALSE))</f>
        <v>0</v>
      </c>
      <c r="N55" s="41"/>
      <c r="P55" s="35">
        <f>IF(ISERROR(VLOOKUP(A55,'[4]C-1'!$C$9:$D$39,2, FALSE)),0,VLOOKUP(A55,'[4]C-1'!$C$9:$D$39,2, FALSE))</f>
        <v>0</v>
      </c>
      <c r="Q55" s="41"/>
      <c r="S55" s="35">
        <f>IF(ISERROR(VLOOKUP(D55,'[4]C-1'!$C$9:$D$39,2, FALSE)),0,VLOOKUP(D55,'[4]C-1'!$C$9:$D$39,2, FALSE))</f>
        <v>0</v>
      </c>
      <c r="T55" s="41"/>
      <c r="V55" s="116">
        <f t="shared" si="20"/>
        <v>0</v>
      </c>
      <c r="W55" s="117" t="e">
        <f>(M55-J55)/J55</f>
        <v>#DIV/0!</v>
      </c>
      <c r="Y55" s="116">
        <f t="shared" si="21"/>
        <v>0</v>
      </c>
      <c r="Z55" s="117" t="e">
        <f>(P55-M55)/M55</f>
        <v>#DIV/0!</v>
      </c>
    </row>
    <row r="56" spans="1:26">
      <c r="A56" s="15">
        <v>5020</v>
      </c>
      <c r="B56" s="12" t="s">
        <v>66</v>
      </c>
      <c r="J56" s="35">
        <f>IF(ISERROR(VLOOKUP(A56,'[2]C-1 Page 6'!$E$10:$F$25,2, FALSE)),0,VLOOKUP(A56,'[2]C-1 Page 6'!$E$10:$F$25,2, FALSE))</f>
        <v>0</v>
      </c>
      <c r="K56" s="41"/>
      <c r="M56" s="110">
        <f>IF(ISERROR(VLOOKUP(A56,'[3]Budget (Revised)'!A$1:G$65536,6, FALSE)),0,VLOOKUP(A56,'[3]Budget (Revised)'!A$1:G$65536,6, FALSE))</f>
        <v>0</v>
      </c>
      <c r="N56" s="41"/>
      <c r="P56" s="35">
        <f>IF(ISERROR(VLOOKUP(A56,'[4]C-1'!$C$9:$D$39,2, FALSE)),0,VLOOKUP(A56,'[4]C-1'!$C$9:$D$39,2, FALSE))</f>
        <v>0</v>
      </c>
      <c r="Q56" s="41"/>
      <c r="S56" s="35">
        <f>IF(ISERROR(VLOOKUP(D56,'[4]C-1'!$C$9:$D$39,2, FALSE)),0,VLOOKUP(D56,'[4]C-1'!$C$9:$D$39,2, FALSE))</f>
        <v>0</v>
      </c>
      <c r="T56" s="41"/>
      <c r="V56" s="116">
        <f t="shared" si="20"/>
        <v>0</v>
      </c>
      <c r="W56" s="117"/>
      <c r="Y56" s="116">
        <f t="shared" si="21"/>
        <v>0</v>
      </c>
      <c r="Z56" s="117"/>
    </row>
    <row r="57" spans="1:26">
      <c r="A57" s="15">
        <v>5030</v>
      </c>
      <c r="B57" s="12" t="s">
        <v>65</v>
      </c>
      <c r="J57" s="35">
        <f>IF(ISERROR(VLOOKUP(A57,'[2]C-1 Page 6'!$E$10:$F$25,2, FALSE)),0,VLOOKUP(A57,'[2]C-1 Page 6'!$E$10:$F$25,2, FALSE))</f>
        <v>0</v>
      </c>
      <c r="K57" s="41"/>
      <c r="M57" s="110">
        <f>IF(ISERROR(VLOOKUP(A57,'[3]Budget (Revised)'!A$1:G$65536,6, FALSE)),0,VLOOKUP(A57,'[3]Budget (Revised)'!A$1:G$65536,6, FALSE))</f>
        <v>0</v>
      </c>
      <c r="N57" s="41"/>
      <c r="P57" s="35">
        <f>IF(ISERROR(VLOOKUP(A57,'[4]C-1'!$C$9:$D$39,2, FALSE)),0,VLOOKUP(A57,'[4]C-1'!$C$9:$D$39,2, FALSE))</f>
        <v>0</v>
      </c>
      <c r="Q57" s="41"/>
      <c r="S57" s="35">
        <f>IF(ISERROR(VLOOKUP(D57,'[4]C-1'!$C$9:$D$39,2, FALSE)),0,VLOOKUP(D57,'[4]C-1'!$C$9:$D$39,2, FALSE))</f>
        <v>0</v>
      </c>
      <c r="T57" s="41"/>
      <c r="V57" s="116">
        <f t="shared" si="20"/>
        <v>0</v>
      </c>
      <c r="W57" s="117" t="e">
        <f>(M57-J57)/J57</f>
        <v>#DIV/0!</v>
      </c>
      <c r="Y57" s="116">
        <f t="shared" si="21"/>
        <v>0</v>
      </c>
      <c r="Z57" s="117" t="e">
        <f>(P57-M57)/M57</f>
        <v>#DIV/0!</v>
      </c>
    </row>
    <row r="58" spans="1:26">
      <c r="A58" s="15">
        <v>5050</v>
      </c>
      <c r="B58" s="12" t="s">
        <v>64</v>
      </c>
      <c r="J58" s="35">
        <f>IF(ISERROR(VLOOKUP(A58,'[2]C-1 Page 6'!$E$10:$F$25,2, FALSE)),0,VLOOKUP(A58,'[2]C-1 Page 6'!$E$10:$F$25,2, FALSE))</f>
        <v>0</v>
      </c>
      <c r="K58" s="41"/>
      <c r="M58" s="110">
        <f>IF(ISERROR(VLOOKUP(A58,'[3]Budget (Revised)'!A$1:G$65536,6, FALSE)),0,VLOOKUP(A58,'[3]Budget (Revised)'!A$1:G$65536,6, FALSE))</f>
        <v>0</v>
      </c>
      <c r="N58" s="41"/>
      <c r="P58" s="35">
        <f>IF(ISERROR(VLOOKUP(A58,'[4]C-1'!$C$9:$D$39,2, FALSE)),0,VLOOKUP(A58,'[4]C-1'!$C$9:$D$39,2, FALSE))</f>
        <v>0</v>
      </c>
      <c r="Q58" s="41"/>
      <c r="S58" s="35">
        <f>IF(ISERROR(VLOOKUP(D58,'[4]C-1'!$C$9:$D$39,2, FALSE)),0,VLOOKUP(D58,'[4]C-1'!$C$9:$D$39,2, FALSE))</f>
        <v>0</v>
      </c>
      <c r="T58" s="41"/>
      <c r="V58" s="116">
        <f t="shared" si="20"/>
        <v>0</v>
      </c>
      <c r="W58" s="117" t="e">
        <f>(M58-J58)/J58</f>
        <v>#DIV/0!</v>
      </c>
      <c r="Y58" s="116">
        <f t="shared" si="21"/>
        <v>0</v>
      </c>
      <c r="Z58" s="117" t="e">
        <f>(P58-M58)/M58</f>
        <v>#DIV/0!</v>
      </c>
    </row>
    <row r="59" spans="1:26">
      <c r="A59" s="15">
        <v>5110</v>
      </c>
      <c r="B59" s="12" t="s">
        <v>76</v>
      </c>
      <c r="J59" s="35">
        <f>IF(ISERROR(VLOOKUP(A59,'[2]C-1 Page 6'!$E$10:$F$25,2, FALSE)),0,VLOOKUP(A59,'[2]C-1 Page 6'!$E$10:$F$25,2, FALSE))</f>
        <v>0</v>
      </c>
      <c r="K59" s="41"/>
      <c r="M59" s="110">
        <f>IF(ISERROR(VLOOKUP(A59,'[3]Budget (Revised)'!A$1:G$65536,6, FALSE)),0,VLOOKUP(A59,'[3]Budget (Revised)'!A$1:G$65536,6, FALSE))</f>
        <v>0</v>
      </c>
      <c r="N59" s="41"/>
      <c r="P59" s="35">
        <f>IF(ISERROR(VLOOKUP(A59,'[4]C-1'!$C$9:$D$39,2, FALSE)),0,VLOOKUP(A59,'[4]C-1'!$C$9:$D$39,2, FALSE))</f>
        <v>0</v>
      </c>
      <c r="Q59" s="41"/>
      <c r="S59" s="35">
        <f>IF(ISERROR(VLOOKUP(D59,'[4]C-1'!$C$9:$D$39,2, FALSE)),0,VLOOKUP(D59,'[4]C-1'!$C$9:$D$39,2, FALSE))</f>
        <v>0</v>
      </c>
      <c r="T59" s="41"/>
      <c r="V59" s="116">
        <f t="shared" si="20"/>
        <v>0</v>
      </c>
      <c r="W59" s="117"/>
      <c r="Y59" s="116">
        <f t="shared" si="21"/>
        <v>0</v>
      </c>
      <c r="Z59" s="117"/>
    </row>
    <row r="60" spans="1:26">
      <c r="A60" s="15">
        <v>5111</v>
      </c>
      <c r="B60" s="12" t="s">
        <v>63</v>
      </c>
      <c r="J60" s="35">
        <f>IF(ISERROR(VLOOKUP(A60,'[2]C-1 Page 6'!$E$10:$F$25,2, FALSE)),0,VLOOKUP(A60,'[2]C-1 Page 6'!$E$10:$F$25,2, FALSE))</f>
        <v>0</v>
      </c>
      <c r="K60" s="41"/>
      <c r="M60" s="110">
        <f>IF(ISERROR(VLOOKUP(A60,'[3]Budget (Revised)'!A$1:G$65536,6, FALSE)),0,VLOOKUP(A60,'[3]Budget (Revised)'!A$1:G$65536,6, FALSE))</f>
        <v>0</v>
      </c>
      <c r="N60" s="41"/>
      <c r="P60" s="35">
        <f>IF(ISERROR(VLOOKUP(A60,'[4]C-1'!$C$9:$D$39,2, FALSE)),0,VLOOKUP(A60,'[4]C-1'!$C$9:$D$39,2, FALSE))</f>
        <v>0</v>
      </c>
      <c r="Q60" s="41"/>
      <c r="S60" s="35">
        <f>IF(ISERROR(VLOOKUP(D60,'[4]C-1'!$C$9:$D$39,2, FALSE)),0,VLOOKUP(D60,'[4]C-1'!$C$9:$D$39,2, FALSE))</f>
        <v>0</v>
      </c>
      <c r="T60" s="41"/>
      <c r="V60" s="116">
        <f t="shared" si="20"/>
        <v>0</v>
      </c>
      <c r="W60" s="117"/>
      <c r="Y60" s="116">
        <f t="shared" si="21"/>
        <v>0</v>
      </c>
      <c r="Z60" s="117"/>
    </row>
    <row r="61" spans="1:26">
      <c r="A61" s="15">
        <v>5112</v>
      </c>
      <c r="B61" s="12" t="s">
        <v>62</v>
      </c>
      <c r="J61" s="35">
        <f>IF(ISERROR(VLOOKUP(A61,'[2]C-1 Page 6'!$E$10:$F$25,2, FALSE)),0,VLOOKUP(A61,'[2]C-1 Page 6'!$E$10:$F$25,2, FALSE))</f>
        <v>0</v>
      </c>
      <c r="K61" s="41"/>
      <c r="M61" s="110">
        <f>IF(ISERROR(VLOOKUP(A61,'[3]Budget (Revised)'!A$1:G$65536,6, FALSE)),0,VLOOKUP(A61,'[3]Budget (Revised)'!A$1:G$65536,6, FALSE))</f>
        <v>0</v>
      </c>
      <c r="N61" s="41"/>
      <c r="P61" s="35">
        <f>IF(ISERROR(VLOOKUP(A61,'[4]C-1'!$C$9:$D$39,2, FALSE)),0,VLOOKUP(A61,'[4]C-1'!$C$9:$D$39,2, FALSE))</f>
        <v>0</v>
      </c>
      <c r="Q61" s="41"/>
      <c r="S61" s="35">
        <f>IF(ISERROR(VLOOKUP(D61,'[4]C-1'!$C$9:$D$39,2, FALSE)),0,VLOOKUP(D61,'[4]C-1'!$C$9:$D$39,2, FALSE))</f>
        <v>0</v>
      </c>
      <c r="T61" s="41"/>
      <c r="V61" s="116">
        <f t="shared" si="20"/>
        <v>0</v>
      </c>
      <c r="W61" s="117"/>
      <c r="Y61" s="116">
        <f t="shared" si="21"/>
        <v>0</v>
      </c>
      <c r="Z61" s="117"/>
    </row>
    <row r="62" spans="1:26">
      <c r="A62" s="15">
        <v>5113</v>
      </c>
      <c r="B62" s="12" t="s">
        <v>61</v>
      </c>
      <c r="J62" s="35">
        <f>IF(ISERROR(VLOOKUP(A62,'[2]C-1 Page 6'!$E$10:$F$25,2, FALSE)),0,VLOOKUP(A62,'[2]C-1 Page 6'!$E$10:$F$25,2, FALSE))</f>
        <v>0</v>
      </c>
      <c r="K62" s="41"/>
      <c r="M62" s="110">
        <f>IF(ISERROR(VLOOKUP(A62,'[3]Budget (Revised)'!A$1:G$65536,6, FALSE)),0,VLOOKUP(A62,'[3]Budget (Revised)'!A$1:G$65536,6, FALSE))</f>
        <v>0</v>
      </c>
      <c r="N62" s="41"/>
      <c r="P62" s="35">
        <f>IF(ISERROR(VLOOKUP(A62,'[4]C-1'!$C$9:$D$39,2, FALSE)),0,VLOOKUP(A62,'[4]C-1'!$C$9:$D$39,2, FALSE))</f>
        <v>0</v>
      </c>
      <c r="Q62" s="41"/>
      <c r="S62" s="35">
        <f>IF(ISERROR(VLOOKUP(D62,'[4]C-1'!$C$9:$D$39,2, FALSE)),0,VLOOKUP(D62,'[4]C-1'!$C$9:$D$39,2, FALSE))</f>
        <v>0</v>
      </c>
      <c r="T62" s="41"/>
      <c r="V62" s="116">
        <f t="shared" si="20"/>
        <v>0</v>
      </c>
      <c r="W62" s="117"/>
      <c r="Y62" s="116">
        <f t="shared" si="21"/>
        <v>0</v>
      </c>
      <c r="Z62" s="117"/>
    </row>
    <row r="63" spans="1:26">
      <c r="A63" s="15">
        <v>5114</v>
      </c>
      <c r="B63" s="12" t="s">
        <v>60</v>
      </c>
      <c r="J63" s="35">
        <f>IF(ISERROR(VLOOKUP(A63,'[2]C-1 Page 6'!$E$10:$F$25,2, FALSE)),0,VLOOKUP(A63,'[2]C-1 Page 6'!$E$10:$F$25,2, FALSE))</f>
        <v>0</v>
      </c>
      <c r="K63" s="41"/>
      <c r="M63" s="110">
        <f>IF(ISERROR(VLOOKUP(A63,'[3]Budget (Revised)'!A$1:G$65536,6, FALSE)),0,VLOOKUP(A63,'[3]Budget (Revised)'!A$1:G$65536,6, FALSE))</f>
        <v>0</v>
      </c>
      <c r="N63" s="41"/>
      <c r="P63" s="35">
        <f>IF(ISERROR(VLOOKUP(A63,'[4]C-1'!$C$9:$D$39,2, FALSE)),0,VLOOKUP(A63,'[4]C-1'!$C$9:$D$39,2, FALSE))</f>
        <v>0</v>
      </c>
      <c r="Q63" s="41"/>
      <c r="S63" s="35">
        <f>IF(ISERROR(VLOOKUP(D63,'[4]C-1'!$C$9:$D$39,2, FALSE)),0,VLOOKUP(D63,'[4]C-1'!$C$9:$D$39,2, FALSE))</f>
        <v>0</v>
      </c>
      <c r="T63" s="41"/>
      <c r="V63" s="116">
        <f t="shared" si="20"/>
        <v>0</v>
      </c>
      <c r="W63" s="117"/>
      <c r="Y63" s="116">
        <f t="shared" si="21"/>
        <v>0</v>
      </c>
      <c r="Z63" s="117"/>
    </row>
    <row r="64" spans="1:26">
      <c r="A64" s="15">
        <v>5060</v>
      </c>
      <c r="B64" s="12" t="s">
        <v>59</v>
      </c>
      <c r="C64" s="17"/>
      <c r="D64" s="40"/>
      <c r="E64" s="123"/>
      <c r="F64" s="16"/>
      <c r="G64" s="40"/>
      <c r="H64" s="123"/>
      <c r="I64" s="16"/>
      <c r="J64" s="35">
        <f>IF(ISERROR(VLOOKUP(A64,'[2]C-1 Page 6'!$E$10:$F$25,2, FALSE)),0,VLOOKUP(A64,'[2]C-1 Page 6'!$E$10:$F$25,2, FALSE))</f>
        <v>0</v>
      </c>
      <c r="K64" s="41"/>
      <c r="L64" s="16"/>
      <c r="M64" s="110">
        <f>IF(ISERROR(VLOOKUP(A64,'[3]Budget (Revised)'!A$1:G$65536,6, FALSE)),0,VLOOKUP(A64,'[3]Budget (Revised)'!A$1:G$65536,6, FALSE))</f>
        <v>0</v>
      </c>
      <c r="N64" s="41"/>
      <c r="O64" s="16"/>
      <c r="P64" s="35">
        <f>IF(ISERROR(VLOOKUP(A64,'[4]C-1'!$C$9:$D$39,2, FALSE)),0,VLOOKUP(A64,'[4]C-1'!$C$9:$D$39,2, FALSE))</f>
        <v>0</v>
      </c>
      <c r="Q64" s="41"/>
      <c r="R64" s="16"/>
      <c r="S64" s="35">
        <f>IF(ISERROR(VLOOKUP(D64,'[4]C-1'!$C$9:$D$39,2, FALSE)),0,VLOOKUP(D64,'[4]C-1'!$C$9:$D$39,2, FALSE))</f>
        <v>0</v>
      </c>
      <c r="T64" s="41"/>
      <c r="U64" s="16"/>
      <c r="V64" s="116">
        <f t="shared" si="20"/>
        <v>0</v>
      </c>
      <c r="W64" s="117" t="e">
        <f>(M64-J64)/J64</f>
        <v>#DIV/0!</v>
      </c>
      <c r="X64" s="16"/>
      <c r="Y64" s="116">
        <f>P64-M64</f>
        <v>0</v>
      </c>
      <c r="Z64" s="117" t="e">
        <f>(P64-M64)/M64</f>
        <v>#DIV/0!</v>
      </c>
    </row>
    <row r="65" spans="1:26">
      <c r="A65" s="15"/>
      <c r="B65" s="12"/>
      <c r="C65" s="17"/>
      <c r="D65" s="40"/>
      <c r="E65" s="123"/>
      <c r="F65" s="16"/>
      <c r="G65" s="40"/>
      <c r="H65" s="123"/>
      <c r="I65" s="16"/>
      <c r="K65" s="41"/>
      <c r="L65" s="16"/>
      <c r="N65" s="41"/>
      <c r="O65" s="16"/>
      <c r="Q65" s="41"/>
      <c r="R65" s="16"/>
      <c r="T65" s="41"/>
      <c r="U65" s="16"/>
      <c r="X65" s="16"/>
    </row>
    <row r="66" spans="1:26" s="45" customFormat="1" ht="14" thickBot="1">
      <c r="B66" s="46" t="s">
        <v>58</v>
      </c>
      <c r="C66" s="47"/>
      <c r="D66" s="48"/>
      <c r="E66" s="124"/>
      <c r="F66" s="49"/>
      <c r="G66" s="48"/>
      <c r="H66" s="124"/>
      <c r="I66" s="49"/>
      <c r="J66" s="50">
        <f>SUM(J54:J64)</f>
        <v>0</v>
      </c>
      <c r="K66" s="51"/>
      <c r="L66" s="49"/>
      <c r="M66" s="113">
        <f>SUM(M54:M64)</f>
        <v>0</v>
      </c>
      <c r="N66" s="51"/>
      <c r="O66" s="49"/>
      <c r="P66" s="113">
        <f>SUM(P54:P64)</f>
        <v>0</v>
      </c>
      <c r="Q66" s="51"/>
      <c r="R66" s="49"/>
      <c r="S66" s="113">
        <f>SUM(S54:S64)</f>
        <v>0</v>
      </c>
      <c r="T66" s="51"/>
      <c r="U66" s="49"/>
      <c r="V66" s="113">
        <f>M66-J66</f>
        <v>0</v>
      </c>
      <c r="W66" s="114" t="e">
        <f>(M66-J66)/J66</f>
        <v>#DIV/0!</v>
      </c>
      <c r="X66" s="49"/>
      <c r="Y66" s="113">
        <f>P66-M66</f>
        <v>0</v>
      </c>
      <c r="Z66" s="114" t="e">
        <f>(P66-M66)/M66</f>
        <v>#DIV/0!</v>
      </c>
    </row>
    <row r="67" spans="1:26">
      <c r="C67" s="11"/>
      <c r="D67" s="37"/>
      <c r="E67" s="118"/>
      <c r="F67" s="10"/>
      <c r="G67" s="37"/>
      <c r="H67" s="118"/>
      <c r="I67" s="10"/>
      <c r="K67" s="41"/>
      <c r="L67" s="10"/>
      <c r="N67" s="41"/>
      <c r="O67" s="10"/>
      <c r="Q67" s="41"/>
      <c r="R67" s="10"/>
      <c r="T67" s="41"/>
      <c r="U67" s="10"/>
      <c r="X67" s="10"/>
    </row>
    <row r="68" spans="1:26">
      <c r="A68" s="19" t="s">
        <v>57</v>
      </c>
      <c r="C68" s="17"/>
      <c r="D68" s="40"/>
      <c r="E68" s="123"/>
      <c r="F68" s="16"/>
      <c r="G68" s="40"/>
      <c r="H68" s="123"/>
      <c r="I68" s="16"/>
      <c r="K68" s="41"/>
      <c r="L68" s="16"/>
      <c r="N68" s="41"/>
      <c r="O68" s="16"/>
      <c r="Q68" s="41"/>
      <c r="R68" s="16"/>
      <c r="T68" s="41"/>
      <c r="U68" s="16"/>
      <c r="X68" s="16"/>
    </row>
    <row r="69" spans="1:26">
      <c r="B69" s="18"/>
      <c r="C69" s="17"/>
      <c r="D69" s="40"/>
      <c r="E69" s="123"/>
      <c r="F69" s="16"/>
      <c r="G69" s="40"/>
      <c r="H69" s="123"/>
      <c r="I69" s="16"/>
      <c r="K69" s="41"/>
      <c r="L69" s="16"/>
      <c r="N69" s="41"/>
      <c r="O69" s="16"/>
      <c r="Q69" s="41"/>
      <c r="R69" s="16"/>
      <c r="T69" s="41"/>
      <c r="U69" s="16"/>
      <c r="X69" s="16"/>
    </row>
    <row r="70" spans="1:26">
      <c r="A70" s="15">
        <v>6000</v>
      </c>
      <c r="B70" s="12" t="s">
        <v>56</v>
      </c>
      <c r="J70" s="35">
        <f>IF(ISERROR(VLOOKUP(A70,'[2]C-1 Page 6'!$M$10:$N$14,2, FALSE)),0,VLOOKUP(A70,'[2]C-1 Page 6'!$M$10:$N$14,2, FALSE))</f>
        <v>0</v>
      </c>
      <c r="K70" s="41"/>
      <c r="M70" s="110">
        <f>IF(ISERROR(VLOOKUP(A70,'[3]Budget (Revised)'!A$1:G$65536,6, FALSE)),0,VLOOKUP(A70,'[3]Budget (Revised)'!A$1:G$65536,6, FALSE))</f>
        <v>0</v>
      </c>
      <c r="N70" s="41"/>
      <c r="P70" s="35">
        <f>IF(ISERROR(VLOOKUP(A70,'[4]C-1'!$C$9:$D$39,2, FALSE)),0,VLOOKUP(A70,'[4]C-1'!$C$9:$D$39,2, FALSE))</f>
        <v>0</v>
      </c>
      <c r="Q70" s="41"/>
      <c r="S70" s="35">
        <f>IF(ISERROR(VLOOKUP(D70,'[4]C-1'!$C$9:$D$39,2, FALSE)),0,VLOOKUP(D70,'[4]C-1'!$C$9:$D$39,2, FALSE))</f>
        <v>0</v>
      </c>
      <c r="T70" s="41"/>
      <c r="V70" s="116">
        <f>M70-J70</f>
        <v>0</v>
      </c>
      <c r="W70" s="117"/>
      <c r="Y70" s="116">
        <f t="shared" ref="Y70:Y76" si="22">P70-M70</f>
        <v>0</v>
      </c>
      <c r="Z70" s="117"/>
    </row>
    <row r="71" spans="1:26">
      <c r="A71" s="15">
        <v>6010</v>
      </c>
      <c r="B71" s="12" t="s">
        <v>55</v>
      </c>
      <c r="J71" s="35">
        <f>IF(ISERROR(VLOOKUP(A71,'[2]C-1 Page 6'!$M$10:$N$14,2, FALSE)),0,VLOOKUP(A71,'[2]C-1 Page 6'!$M$10:$N$14,2, FALSE))</f>
        <v>0</v>
      </c>
      <c r="K71" s="41"/>
      <c r="M71" s="110">
        <f>IF(ISERROR(VLOOKUP(A71,'[3]Budget (Revised)'!A$1:G$65536,6, FALSE)),0,VLOOKUP(A71,'[3]Budget (Revised)'!A$1:G$65536,6, FALSE))</f>
        <v>0</v>
      </c>
      <c r="N71" s="41"/>
      <c r="P71" s="35">
        <f>IF(ISERROR(VLOOKUP(A71,'[4]C-1'!$C$9:$D$39,2, FALSE)),0,VLOOKUP(A71,'[4]C-1'!$C$9:$D$39,2, FALSE))</f>
        <v>0</v>
      </c>
      <c r="Q71" s="41"/>
      <c r="S71" s="35">
        <f>IF(ISERROR(VLOOKUP(D71,'[4]C-1'!$C$9:$D$39,2, FALSE)),0,VLOOKUP(D71,'[4]C-1'!$C$9:$D$39,2, FALSE))</f>
        <v>0</v>
      </c>
      <c r="T71" s="41"/>
      <c r="V71" s="116">
        <f>M71-J71</f>
        <v>0</v>
      </c>
      <c r="W71" s="117" t="e">
        <f>(M71-J71)/J71</f>
        <v>#DIV/0!</v>
      </c>
      <c r="Y71" s="116">
        <f t="shared" si="22"/>
        <v>0</v>
      </c>
      <c r="Z71" s="117" t="e">
        <f>(P71-M71)/M71</f>
        <v>#DIV/0!</v>
      </c>
    </row>
    <row r="72" spans="1:26">
      <c r="A72" s="15">
        <v>6020</v>
      </c>
      <c r="B72" s="12" t="s">
        <v>54</v>
      </c>
      <c r="J72" s="35">
        <f>IF(ISERROR(VLOOKUP(A72,'[2]C-1 Page 6'!$M$10:$N$14,2, FALSE)),0,VLOOKUP(A72,'[2]C-1 Page 6'!$M$10:$N$14,2, FALSE))</f>
        <v>0</v>
      </c>
      <c r="K72" s="41"/>
      <c r="M72" s="110">
        <f>IF(ISERROR(VLOOKUP(A72,'[3]Budget (Revised)'!A$1:G$65536,6, FALSE)),0,VLOOKUP(A72,'[3]Budget (Revised)'!A$1:G$65536,6, FALSE))</f>
        <v>0</v>
      </c>
      <c r="N72" s="41"/>
      <c r="P72" s="35">
        <f>IF(ISERROR(VLOOKUP(A72,'[4]C-1'!$C$9:$D$39,2, FALSE)),0,VLOOKUP(A72,'[4]C-1'!$C$9:$D$39,2, FALSE))</f>
        <v>0</v>
      </c>
      <c r="Q72" s="41"/>
      <c r="S72" s="35">
        <f>IF(ISERROR(VLOOKUP(D72,'[4]C-1'!$C$9:$D$39,2, FALSE)),0,VLOOKUP(D72,'[4]C-1'!$C$9:$D$39,2, FALSE))</f>
        <v>0</v>
      </c>
      <c r="T72" s="41"/>
      <c r="V72" s="116">
        <f>M72-J72</f>
        <v>0</v>
      </c>
      <c r="W72" s="117"/>
      <c r="Y72" s="116">
        <f t="shared" si="22"/>
        <v>0</v>
      </c>
      <c r="Z72" s="117"/>
    </row>
    <row r="73" spans="1:26">
      <c r="A73" s="15">
        <v>6030</v>
      </c>
      <c r="B73" s="12" t="s">
        <v>53</v>
      </c>
      <c r="J73" s="35">
        <f>IF(ISERROR(VLOOKUP(A73,'[2]C-1 Page 6'!$M$10:$N$14,2, FALSE)),0,VLOOKUP(A73,'[2]C-1 Page 6'!$M$10:$N$14,2, FALSE))</f>
        <v>0</v>
      </c>
      <c r="K73" s="41"/>
      <c r="M73" s="110">
        <f>IF(ISERROR(VLOOKUP(A73,'[3]Budget (Revised)'!A$1:G$65536,6, FALSE)),0,VLOOKUP(A73,'[3]Budget (Revised)'!A$1:G$65536,6, FALSE))</f>
        <v>0</v>
      </c>
      <c r="N73" s="41"/>
      <c r="P73" s="35">
        <f>IF(ISERROR(VLOOKUP(A73,'[4]C-1'!$C$9:$D$39,2, FALSE)),0,VLOOKUP(A73,'[4]C-1'!$C$9:$D$39,2, FALSE))</f>
        <v>0</v>
      </c>
      <c r="Q73" s="41"/>
      <c r="S73" s="35">
        <f>IF(ISERROR(VLOOKUP(D73,'[4]C-1'!$C$9:$D$39,2, FALSE)),0,VLOOKUP(D73,'[4]C-1'!$C$9:$D$39,2, FALSE))</f>
        <v>0</v>
      </c>
      <c r="T73" s="41"/>
      <c r="V73" s="116">
        <f>M73-J73</f>
        <v>0</v>
      </c>
      <c r="W73" s="117" t="e">
        <f>(M73-J73)/J73</f>
        <v>#DIV/0!</v>
      </c>
      <c r="Y73" s="116">
        <f t="shared" si="22"/>
        <v>0</v>
      </c>
      <c r="Z73" s="117" t="e">
        <f>(P73-M73)/M73</f>
        <v>#DIV/0!</v>
      </c>
    </row>
    <row r="74" spans="1:26">
      <c r="A74" s="15">
        <v>6060</v>
      </c>
      <c r="B74" s="12" t="s">
        <v>52</v>
      </c>
      <c r="J74" s="35">
        <f>IF(ISERROR(VLOOKUP(A74,'[2]C-1 Page 6'!$M$10:$N$14,2, FALSE)),0,VLOOKUP(A74,'[2]C-1 Page 6'!$M$10:$N$14,2, FALSE))</f>
        <v>0</v>
      </c>
      <c r="K74" s="41"/>
      <c r="M74" s="110">
        <f>IF(ISERROR(VLOOKUP(A74,'[3]Budget (Revised)'!A$1:G$65536,6, FALSE)),0,VLOOKUP(A74,'[3]Budget (Revised)'!A$1:G$65536,6, FALSE))</f>
        <v>0</v>
      </c>
      <c r="N74" s="41"/>
      <c r="P74" s="35">
        <f>IF(ISERROR(VLOOKUP(A74,'[4]C-1'!$C$9:$D$39,2, FALSE)),0,VLOOKUP(A74,'[4]C-1'!$C$9:$D$39,2, FALSE))</f>
        <v>0</v>
      </c>
      <c r="Q74" s="41"/>
      <c r="S74" s="35">
        <f>IF(ISERROR(VLOOKUP(D74,'[4]C-1'!$C$9:$D$39,2, FALSE)),0,VLOOKUP(D74,'[4]C-1'!$C$9:$D$39,2, FALSE))</f>
        <v>0</v>
      </c>
      <c r="T74" s="41"/>
      <c r="V74" s="116">
        <f>M74-J74</f>
        <v>0</v>
      </c>
      <c r="W74" s="117" t="e">
        <f>(M74-J74)/J74</f>
        <v>#DIV/0!</v>
      </c>
      <c r="Y74" s="116">
        <f t="shared" si="22"/>
        <v>0</v>
      </c>
      <c r="Z74" s="117" t="e">
        <f>(P74-M74)/M74</f>
        <v>#DIV/0!</v>
      </c>
    </row>
    <row r="75" spans="1:26">
      <c r="B75" s="12"/>
      <c r="C75" s="17"/>
      <c r="D75" s="40"/>
      <c r="E75" s="123"/>
      <c r="F75" s="16"/>
      <c r="G75" s="40"/>
      <c r="H75" s="123"/>
      <c r="I75" s="16"/>
      <c r="K75" s="41"/>
      <c r="L75" s="16"/>
      <c r="N75" s="41"/>
      <c r="O75" s="16"/>
      <c r="Q75" s="41"/>
      <c r="R75" s="16"/>
      <c r="T75" s="41"/>
      <c r="U75" s="16"/>
      <c r="X75" s="16"/>
      <c r="Y75" s="116">
        <f t="shared" si="22"/>
        <v>0</v>
      </c>
      <c r="Z75" s="117"/>
    </row>
    <row r="76" spans="1:26" s="45" customFormat="1" ht="14" thickBot="1">
      <c r="B76" s="46" t="s">
        <v>51</v>
      </c>
      <c r="C76" s="47"/>
      <c r="D76" s="48"/>
      <c r="E76" s="124"/>
      <c r="F76" s="49"/>
      <c r="G76" s="48"/>
      <c r="H76" s="124"/>
      <c r="I76" s="49"/>
      <c r="J76" s="50">
        <f>SUM(J70:J75)</f>
        <v>0</v>
      </c>
      <c r="K76" s="51"/>
      <c r="L76" s="49"/>
      <c r="M76" s="113">
        <f>SUM(M70:M75)</f>
        <v>0</v>
      </c>
      <c r="N76" s="51"/>
      <c r="O76" s="49"/>
      <c r="P76" s="113">
        <f>SUM(P70:P75)</f>
        <v>0</v>
      </c>
      <c r="Q76" s="51"/>
      <c r="R76" s="49"/>
      <c r="S76" s="113">
        <f>SUM(S70:S75)</f>
        <v>0</v>
      </c>
      <c r="T76" s="51"/>
      <c r="U76" s="49"/>
      <c r="V76" s="113">
        <f>M76-J76</f>
        <v>0</v>
      </c>
      <c r="W76" s="114" t="e">
        <f>(M76-J76)/J76</f>
        <v>#DIV/0!</v>
      </c>
      <c r="X76" s="49"/>
      <c r="Y76" s="113">
        <f t="shared" si="22"/>
        <v>0</v>
      </c>
      <c r="Z76" s="114" t="e">
        <f>(P76-M76)/M76</f>
        <v>#DIV/0!</v>
      </c>
    </row>
    <row r="77" spans="1:26">
      <c r="B77" s="12"/>
      <c r="C77" s="17"/>
      <c r="D77" s="40"/>
      <c r="E77" s="123"/>
      <c r="F77" s="16"/>
      <c r="G77" s="40"/>
      <c r="H77" s="123"/>
      <c r="I77" s="16"/>
      <c r="K77" s="41"/>
      <c r="L77" s="16"/>
      <c r="N77" s="41"/>
      <c r="O77" s="16"/>
      <c r="Q77" s="41"/>
      <c r="R77" s="16"/>
      <c r="T77" s="41"/>
      <c r="U77" s="16"/>
      <c r="X77" s="16"/>
    </row>
    <row r="78" spans="1:26" s="6" customFormat="1" ht="14" thickBot="1">
      <c r="B78" s="9" t="s">
        <v>50</v>
      </c>
      <c r="C78" s="8"/>
      <c r="D78" s="42"/>
      <c r="E78" s="125"/>
      <c r="F78" s="7"/>
      <c r="G78" s="42"/>
      <c r="H78" s="125"/>
      <c r="I78" s="7"/>
      <c r="J78" s="43">
        <f>J66-J76</f>
        <v>0</v>
      </c>
      <c r="K78" s="44"/>
      <c r="L78" s="7"/>
      <c r="M78" s="121">
        <f>M66-M76</f>
        <v>0</v>
      </c>
      <c r="N78" s="44"/>
      <c r="O78" s="7"/>
      <c r="P78" s="121">
        <f>P66-P76</f>
        <v>0</v>
      </c>
      <c r="Q78" s="44"/>
      <c r="R78" s="7"/>
      <c r="S78" s="121">
        <f>S66-S76</f>
        <v>0</v>
      </c>
      <c r="T78" s="44"/>
      <c r="U78" s="7"/>
      <c r="V78" s="121">
        <f>M78-J78</f>
        <v>0</v>
      </c>
      <c r="W78" s="122" t="e">
        <f>(M78-J78)/J78</f>
        <v>#DIV/0!</v>
      </c>
      <c r="X78" s="7"/>
      <c r="Y78" s="121">
        <f>P78-M78</f>
        <v>0</v>
      </c>
      <c r="Z78" s="122" t="e">
        <f>(P78-M78)/M78</f>
        <v>#DIV/0!</v>
      </c>
    </row>
    <row r="79" spans="1:26" ht="14" thickTop="1">
      <c r="B79" s="12"/>
      <c r="C79" s="17"/>
      <c r="D79" s="40"/>
      <c r="E79" s="123"/>
      <c r="F79" s="16"/>
      <c r="G79" s="40"/>
      <c r="H79" s="123"/>
      <c r="I79" s="16"/>
      <c r="K79" s="41"/>
      <c r="L79" s="16"/>
      <c r="N79" s="41"/>
      <c r="O79" s="16"/>
      <c r="Q79" s="41"/>
      <c r="R79" s="16"/>
      <c r="T79" s="41"/>
      <c r="U79" s="16"/>
      <c r="X79" s="16"/>
    </row>
    <row r="80" spans="1:26">
      <c r="A80" s="14" t="s">
        <v>49</v>
      </c>
      <c r="K80" s="41"/>
      <c r="N80" s="41"/>
      <c r="Q80" s="41"/>
      <c r="T80" s="41"/>
    </row>
    <row r="81" spans="1:26">
      <c r="A81" s="4"/>
      <c r="K81" s="41"/>
      <c r="N81" s="41"/>
      <c r="Q81" s="41"/>
      <c r="T81" s="41"/>
    </row>
    <row r="82" spans="1:26">
      <c r="A82" s="13">
        <v>5100</v>
      </c>
      <c r="B82" s="12" t="s">
        <v>48</v>
      </c>
      <c r="J82" s="35">
        <f>IF(ISERROR(VLOOKUP(A82,'[3]2009 Budget'!$A:$IV,16, FALSE)),0,VLOOKUP(A82,'[3]2009 Budget'!$A:$IV,16, FALSE))</f>
        <v>0</v>
      </c>
      <c r="K82" s="41"/>
      <c r="M82" s="110">
        <f>IF(ISERROR(VLOOKUP(A82,'[3]Budget (Revised)'!A$1:G$65536,6, FALSE)),0,VLOOKUP(A82,'[3]Budget (Revised)'!A$1:G$65536,6, FALSE))</f>
        <v>0</v>
      </c>
      <c r="N82" s="41"/>
      <c r="P82" s="110">
        <f>IF(ISERROR(VLOOKUP(A82,'[4]C-1'!$K$9:$M$25,3, FALSE)),0,VLOOKUP(A82,'[4]C-1'!$K$9:$M$25,3, FALSE))</f>
        <v>0</v>
      </c>
      <c r="Q82" s="41"/>
      <c r="S82" s="110">
        <f>IF(ISERROR(VLOOKUP(D82,'[4]C-1'!$K$9:$M$25,3, FALSE)),0,VLOOKUP(D82,'[4]C-1'!$K$9:$M$25,3, FALSE))</f>
        <v>0</v>
      </c>
      <c r="T82" s="41"/>
      <c r="V82" s="116">
        <f>M82-J82</f>
        <v>0</v>
      </c>
      <c r="W82" s="117"/>
      <c r="Y82" s="116">
        <f>P82-M82</f>
        <v>0</v>
      </c>
      <c r="Z82" s="117"/>
    </row>
    <row r="83" spans="1:26">
      <c r="A83" s="13">
        <v>5120</v>
      </c>
      <c r="B83" s="12" t="s">
        <v>47</v>
      </c>
      <c r="J83" s="35">
        <v>34413</v>
      </c>
      <c r="K83" s="41"/>
      <c r="M83" s="110">
        <f>IF(ISERROR(VLOOKUP(A83,'[3]Budget (Revised)'!A$1:G$65536,6, FALSE)),0,VLOOKUP(A83,'[3]Budget (Revised)'!A$1:G$65536,6, FALSE))</f>
        <v>0</v>
      </c>
      <c r="N83" s="41"/>
      <c r="P83" s="110">
        <f>IF(ISERROR(VLOOKUP(A83,'[4]C-1'!$K$9:$M$25,3, FALSE)),0,VLOOKUP(A83,'[4]C-1'!$K$9:$M$25,3, FALSE))</f>
        <v>0</v>
      </c>
      <c r="Q83" s="41"/>
      <c r="S83" s="110">
        <f>IF(ISERROR(VLOOKUP(D83,'[4]C-1'!$K$9:$M$25,3, FALSE)),0,VLOOKUP(D83,'[4]C-1'!$K$9:$M$25,3, FALSE))</f>
        <v>0</v>
      </c>
      <c r="T83" s="41"/>
      <c r="V83" s="116">
        <f>M83-J83</f>
        <v>-34413</v>
      </c>
      <c r="W83" s="117">
        <f>(M83-J83)/J83</f>
        <v>-1</v>
      </c>
      <c r="Y83" s="116">
        <f>P83-M83</f>
        <v>0</v>
      </c>
      <c r="Z83" s="117" t="e">
        <f>(P83-M83)/M83</f>
        <v>#DIV/0!</v>
      </c>
    </row>
    <row r="84" spans="1:26" ht="13.5" customHeight="1">
      <c r="A84" s="13"/>
      <c r="K84" s="41"/>
      <c r="N84" s="41"/>
      <c r="Q84" s="41"/>
      <c r="T84" s="41"/>
    </row>
    <row r="85" spans="1:26" s="53" customFormat="1" ht="14" thickBot="1">
      <c r="A85" s="52"/>
      <c r="B85" s="45" t="s">
        <v>43</v>
      </c>
      <c r="D85" s="54"/>
      <c r="E85" s="126"/>
      <c r="F85" s="55"/>
      <c r="G85" s="54"/>
      <c r="H85" s="126"/>
      <c r="I85" s="55"/>
      <c r="J85" s="50">
        <f>SUM(J82:J84)</f>
        <v>34413</v>
      </c>
      <c r="K85" s="56"/>
      <c r="L85" s="55"/>
      <c r="M85" s="113">
        <f>SUM(M82:M84)</f>
        <v>0</v>
      </c>
      <c r="N85" s="56"/>
      <c r="O85" s="55"/>
      <c r="P85" s="113">
        <f>SUM(P82:P84)</f>
        <v>0</v>
      </c>
      <c r="Q85" s="56"/>
      <c r="R85" s="55"/>
      <c r="S85" s="113">
        <f>SUM(S82:S84)</f>
        <v>0</v>
      </c>
      <c r="T85" s="56"/>
      <c r="U85" s="55"/>
      <c r="V85" s="113">
        <f>M85-J85</f>
        <v>-34413</v>
      </c>
      <c r="W85" s="114">
        <f>(M85-J85)/J85</f>
        <v>-1</v>
      </c>
      <c r="X85" s="55"/>
      <c r="Y85" s="113">
        <f>P85-M85</f>
        <v>0</v>
      </c>
      <c r="Z85" s="114" t="e">
        <f>(P85-M85)/M85</f>
        <v>#DIV/0!</v>
      </c>
    </row>
    <row r="86" spans="1:26">
      <c r="A86" s="13"/>
      <c r="B86" s="4"/>
      <c r="K86" s="41"/>
      <c r="N86" s="41"/>
      <c r="Q86" s="41"/>
      <c r="T86" s="41"/>
      <c r="V86" s="127"/>
      <c r="Y86" s="127"/>
    </row>
    <row r="87" spans="1:26">
      <c r="A87" s="4" t="s">
        <v>46</v>
      </c>
      <c r="K87" s="41"/>
      <c r="N87" s="41"/>
      <c r="Q87" s="41"/>
      <c r="T87" s="41"/>
    </row>
    <row r="88" spans="1:26">
      <c r="A88" s="4"/>
      <c r="K88" s="41"/>
      <c r="N88" s="41"/>
      <c r="Q88" s="41"/>
      <c r="T88" s="41"/>
    </row>
    <row r="89" spans="1:26">
      <c r="A89" s="13">
        <v>6100</v>
      </c>
      <c r="B89" s="12" t="s">
        <v>45</v>
      </c>
      <c r="J89" s="35">
        <f>IF(ISERROR(VLOOKUP(A89,'[3]2009 Budget'!$A:$IV,16, FALSE)),0,VLOOKUP(A89,'[3]2009 Budget'!$A:$IV,16, FALSE))</f>
        <v>0</v>
      </c>
      <c r="K89" s="41"/>
      <c r="M89" s="110">
        <f>IF(ISERROR(VLOOKUP(A89,'[3]Budget (Revised)'!A$1:G$65536,6, FALSE)),0,VLOOKUP(A89,'[3]Budget (Revised)'!A$1:G$65536,6, FALSE))</f>
        <v>0</v>
      </c>
      <c r="N89" s="41"/>
      <c r="P89" s="110">
        <f>IF(ISERROR(VLOOKUP(A89,'[4]C-1'!$K$9:$M$25,3, FALSE)),0,VLOOKUP(A89,'[4]C-1'!$K$9:$M$25,3, FALSE))</f>
        <v>0</v>
      </c>
      <c r="Q89" s="41"/>
      <c r="S89" s="110">
        <f>IF(ISERROR(VLOOKUP(D89,'[4]C-1'!$K$9:$M$25,3, FALSE)),0,VLOOKUP(D89,'[4]C-1'!$K$9:$M$25,3, FALSE))</f>
        <v>0</v>
      </c>
      <c r="T89" s="41"/>
      <c r="V89" s="116">
        <f>M89-J89</f>
        <v>0</v>
      </c>
      <c r="W89" s="117"/>
      <c r="Y89" s="116">
        <f>P89-M89</f>
        <v>0</v>
      </c>
      <c r="Z89" s="117"/>
    </row>
    <row r="90" spans="1:26">
      <c r="A90" s="13">
        <v>6110</v>
      </c>
      <c r="B90" s="12" t="s">
        <v>44</v>
      </c>
      <c r="J90" s="35">
        <f>IF(ISERROR(VLOOKUP(A90,'[3]2009 Budget'!$A:$IV,16, FALSE)),0,VLOOKUP(A90,'[3]2009 Budget'!$A:$IV,16, FALSE))</f>
        <v>0</v>
      </c>
      <c r="K90" s="41"/>
      <c r="M90" s="110">
        <f>IF(ISERROR(VLOOKUP(A90,'[3]Budget (Revised)'!A$1:G$65536,6, FALSE)),0,VLOOKUP(A90,'[3]Budget (Revised)'!A$1:G$65536,6, FALSE))</f>
        <v>0</v>
      </c>
      <c r="N90" s="41"/>
      <c r="P90" s="110">
        <f>IF(ISERROR(VLOOKUP(A90,'[4]C-1'!$K$9:$M$25,3, FALSE)),0,VLOOKUP(A90,'[4]C-1'!$K$9:$M$25,3, FALSE))</f>
        <v>0</v>
      </c>
      <c r="Q90" s="41"/>
      <c r="S90" s="110">
        <f>IF(ISERROR(VLOOKUP(D90,'[4]C-1'!$K$9:$M$25,3, FALSE)),0,VLOOKUP(D90,'[4]C-1'!$K$9:$M$25,3, FALSE))</f>
        <v>0</v>
      </c>
      <c r="T90" s="41"/>
      <c r="V90" s="116">
        <f>M90-J90</f>
        <v>0</v>
      </c>
      <c r="W90" s="117"/>
      <c r="Y90" s="116">
        <f>P90-M90</f>
        <v>0</v>
      </c>
      <c r="Z90" s="117" t="e">
        <f>(P90-M90)/M90</f>
        <v>#DIV/0!</v>
      </c>
    </row>
    <row r="91" spans="1:26">
      <c r="K91" s="41"/>
      <c r="N91" s="41"/>
      <c r="Q91" s="41"/>
      <c r="T91" s="41"/>
    </row>
    <row r="92" spans="1:26" s="53" customFormat="1" ht="14" thickBot="1">
      <c r="A92" s="52"/>
      <c r="B92" s="45" t="s">
        <v>43</v>
      </c>
      <c r="D92" s="54"/>
      <c r="E92" s="126"/>
      <c r="F92" s="55"/>
      <c r="G92" s="54"/>
      <c r="H92" s="126"/>
      <c r="I92" s="55"/>
      <c r="J92" s="50">
        <f>SUM(J89:J91)</f>
        <v>0</v>
      </c>
      <c r="K92" s="56"/>
      <c r="L92" s="55"/>
      <c r="M92" s="113">
        <f>SUM(M89:M91)</f>
        <v>0</v>
      </c>
      <c r="N92" s="56"/>
      <c r="O92" s="55"/>
      <c r="P92" s="113">
        <f>SUM(P89:P91)</f>
        <v>0</v>
      </c>
      <c r="Q92" s="56"/>
      <c r="R92" s="55"/>
      <c r="S92" s="113">
        <f>SUM(S89:S91)</f>
        <v>0</v>
      </c>
      <c r="T92" s="56"/>
      <c r="U92" s="55"/>
      <c r="V92" s="113">
        <f>M92-J92</f>
        <v>0</v>
      </c>
      <c r="W92" s="114"/>
      <c r="X92" s="55"/>
      <c r="Y92" s="113">
        <f>P92-M92</f>
        <v>0</v>
      </c>
      <c r="Z92" s="114" t="e">
        <f>(P92-M92)/M92</f>
        <v>#DIV/0!</v>
      </c>
    </row>
    <row r="93" spans="1:26">
      <c r="B93" s="3"/>
      <c r="C93" s="11"/>
      <c r="D93" s="37"/>
      <c r="E93" s="118"/>
      <c r="F93" s="10"/>
      <c r="G93" s="37"/>
      <c r="H93" s="118"/>
      <c r="I93" s="10"/>
      <c r="K93" s="41"/>
      <c r="L93" s="10"/>
      <c r="N93" s="41"/>
      <c r="O93" s="10"/>
      <c r="Q93" s="41"/>
      <c r="R93" s="10"/>
      <c r="T93" s="41"/>
      <c r="U93" s="10"/>
      <c r="X93" s="10"/>
    </row>
    <row r="94" spans="1:26" s="6" customFormat="1" ht="14" thickBot="1">
      <c r="B94" s="9" t="s">
        <v>42</v>
      </c>
      <c r="C94" s="8"/>
      <c r="D94" s="42"/>
      <c r="E94" s="125"/>
      <c r="F94" s="7"/>
      <c r="G94" s="42"/>
      <c r="H94" s="125"/>
      <c r="I94" s="7"/>
      <c r="J94" s="43">
        <f>J85-J92</f>
        <v>34413</v>
      </c>
      <c r="K94" s="44"/>
      <c r="L94" s="7"/>
      <c r="M94" s="121">
        <f>M85-M92</f>
        <v>0</v>
      </c>
      <c r="N94" s="44"/>
      <c r="O94" s="7"/>
      <c r="P94" s="121">
        <f>P85-P92</f>
        <v>0</v>
      </c>
      <c r="Q94" s="44"/>
      <c r="R94" s="7"/>
      <c r="S94" s="121">
        <f>S85-S92</f>
        <v>0</v>
      </c>
      <c r="T94" s="44"/>
      <c r="U94" s="7"/>
      <c r="V94" s="121">
        <f>M94-J94</f>
        <v>-34413</v>
      </c>
      <c r="W94" s="122">
        <f>(M94-J94)/J94</f>
        <v>-1</v>
      </c>
      <c r="X94" s="7"/>
      <c r="Y94" s="121">
        <f>P94-M94</f>
        <v>0</v>
      </c>
      <c r="Z94" s="122" t="e">
        <f>(P94-M94)/M94</f>
        <v>#DIV/0!</v>
      </c>
    </row>
    <row r="95" spans="1:26" ht="14" thickTop="1">
      <c r="B95" s="3"/>
      <c r="K95" s="41"/>
      <c r="N95" s="41"/>
      <c r="Q95" s="41"/>
      <c r="T95" s="41"/>
    </row>
    <row r="96" spans="1:26">
      <c r="B96" s="3"/>
      <c r="K96" s="41"/>
      <c r="N96" s="41"/>
      <c r="Q96" s="41"/>
      <c r="T96" s="41"/>
    </row>
    <row r="97" spans="2:25">
      <c r="B97" s="3"/>
      <c r="K97" s="41"/>
      <c r="N97" s="41"/>
      <c r="Q97" s="41"/>
      <c r="T97" s="41"/>
    </row>
    <row r="98" spans="2:25">
      <c r="B98" s="3"/>
      <c r="K98" s="41"/>
      <c r="N98" s="41"/>
      <c r="Q98" s="41"/>
      <c r="T98" s="41"/>
    </row>
    <row r="99" spans="2:25">
      <c r="B99" s="3"/>
      <c r="K99" s="41"/>
      <c r="N99" s="41"/>
      <c r="Q99" s="41"/>
      <c r="T99" s="41"/>
    </row>
    <row r="100" spans="2:25">
      <c r="B100" s="3"/>
      <c r="K100" s="41"/>
      <c r="N100" s="41"/>
      <c r="Q100" s="41"/>
      <c r="T100" s="41"/>
    </row>
    <row r="101" spans="2:25">
      <c r="B101" s="3"/>
      <c r="K101" s="41"/>
      <c r="N101" s="41"/>
      <c r="Q101" s="41"/>
      <c r="T101" s="41"/>
    </row>
    <row r="102" spans="2:25">
      <c r="B102" s="3"/>
      <c r="K102" s="41"/>
      <c r="N102" s="41"/>
      <c r="Q102" s="41"/>
      <c r="T102" s="41"/>
    </row>
    <row r="103" spans="2:25">
      <c r="B103" s="3"/>
      <c r="K103" s="41"/>
      <c r="N103" s="41"/>
      <c r="Q103" s="41"/>
      <c r="T103" s="41"/>
    </row>
    <row r="104" spans="2:25">
      <c r="B104" s="3"/>
      <c r="K104" s="41"/>
      <c r="N104" s="41"/>
      <c r="Q104" s="41"/>
      <c r="T104" s="41"/>
    </row>
    <row r="105" spans="2:25">
      <c r="B105" s="3"/>
      <c r="K105" s="41"/>
      <c r="N105" s="41"/>
      <c r="Q105" s="41"/>
      <c r="T105" s="41"/>
    </row>
    <row r="106" spans="2:25">
      <c r="B106" s="4"/>
      <c r="K106" s="41"/>
      <c r="N106" s="41"/>
      <c r="Q106" s="41"/>
      <c r="T106" s="41"/>
      <c r="V106" s="127"/>
      <c r="Y106" s="127"/>
    </row>
    <row r="107" spans="2:25">
      <c r="K107" s="41"/>
      <c r="N107" s="41"/>
      <c r="Q107" s="41"/>
      <c r="T107" s="41"/>
    </row>
    <row r="108" spans="2:25">
      <c r="B108" s="4"/>
      <c r="K108" s="41"/>
      <c r="N108" s="41"/>
      <c r="Q108" s="41"/>
      <c r="T108" s="41"/>
      <c r="V108" s="127"/>
      <c r="Y108" s="127"/>
    </row>
  </sheetData>
  <dataConsolidate>
    <dataRefs count="1">
      <dataRef ref="G4:G14" sheet="Budget 2010 Summary" r:id="rId1"/>
    </dataRefs>
  </dataConsolidate>
  <phoneticPr fontId="18" type="noConversion"/>
  <pageMargins left="0.75" right="0.5" top="1.18" bottom="1" header="0.5" footer="0.5"/>
  <pageSetup paperSize="17" scale="3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 Statement</vt:lpstr>
      <vt:lpstr>Balance Sheet</vt:lpstr>
      <vt:lpstr>Statement of Cash Flows</vt:lpstr>
      <vt:lpstr>Capital Needs</vt:lpstr>
      <vt:lpstr>Summary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Erica Saccucci</cp:lastModifiedBy>
  <cp:lastPrinted>2011-12-05T23:17:29Z</cp:lastPrinted>
  <dcterms:created xsi:type="dcterms:W3CDTF">2009-08-03T01:41:13Z</dcterms:created>
  <dcterms:modified xsi:type="dcterms:W3CDTF">2012-09-17T21:29:39Z</dcterms:modified>
</cp:coreProperties>
</file>