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255" windowHeight="11640" tabRatio="801" activeTab="2"/>
  </bookViews>
  <sheets>
    <sheet name="Income Statement" sheetId="1" r:id="rId1"/>
    <sheet name="Operating Statement" sheetId="2" r:id="rId2"/>
    <sheet name="Capital Statement" sheetId="3" r:id="rId3"/>
    <sheet name="Capital Needs" sheetId="4" r:id="rId4"/>
    <sheet name="Summary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\H">#REF!</definedName>
    <definedName name="HELP">#REF!</definedName>
    <definedName name="_xlnm.Print_Area" localSheetId="3">'Capital Needs'!$A$1:$F$61</definedName>
    <definedName name="_xlnm.Print_Area" localSheetId="0">'Income Statement'!$A$1:$L$29</definedName>
    <definedName name="_xlnm.Print_Area" localSheetId="1">'Operating Statement'!$A$1:$C$19</definedName>
    <definedName name="_xlnm.Print_Area" localSheetId="4">'Summary'!$A$1:$W$94</definedName>
    <definedName name="PRINT_H">#REF!</definedName>
    <definedName name="_xlnm.Print_Titles" localSheetId="4">'Summary'!$A:$B,'Summary'!$1:$1</definedName>
  </definedNames>
  <calcPr fullCalcOnLoad="1"/>
</workbook>
</file>

<file path=xl/sharedStrings.xml><?xml version="1.0" encoding="utf-8"?>
<sst xmlns="http://schemas.openxmlformats.org/spreadsheetml/2006/main" count="291" uniqueCount="209">
  <si>
    <t>CHURCH</t>
  </si>
  <si>
    <t>SUNDAY &amp; HOLY DAY COLLECTIONS</t>
  </si>
  <si>
    <t>CHRISTMAS COLLECTION</t>
  </si>
  <si>
    <t>EASTER COLLECTION</t>
  </si>
  <si>
    <t>TUITION</t>
  </si>
  <si>
    <t>FEES</t>
  </si>
  <si>
    <t>BOOKSTORE INCOME</t>
  </si>
  <si>
    <t>BINGO INCOME</t>
  </si>
  <si>
    <t>AUXILIARY GROUPS</t>
  </si>
  <si>
    <t>TOTAL OPERATING REVENUE</t>
  </si>
  <si>
    <t>ORDINARY OPERATING EXPENSES:</t>
  </si>
  <si>
    <t>ADMINISTRATIVE EXPENSES</t>
  </si>
  <si>
    <t>TRANSPORTATION</t>
  </si>
  <si>
    <t>MAINTENANCE &amp; BUILDING REPAIRS</t>
  </si>
  <si>
    <t>INTEREST EXPENSE</t>
  </si>
  <si>
    <t>ALTAR &amp; LITURGICAL SUPPLIES</t>
  </si>
  <si>
    <t>FURNISHINGS/EQUIPMENT</t>
  </si>
  <si>
    <t>ARCHDIOCESAN ASSESSMENT</t>
  </si>
  <si>
    <t>PRMAA ASSESSMENT</t>
  </si>
  <si>
    <t xml:space="preserve"> </t>
  </si>
  <si>
    <t>TOTAL OPERATING EXPENSES</t>
  </si>
  <si>
    <t xml:space="preserve">OTHER COLLECTIONS </t>
  </si>
  <si>
    <t>LEASE AND/OR RENTAL INCOME</t>
  </si>
  <si>
    <t>FUND RAISING NET INCOME</t>
  </si>
  <si>
    <t>INTEREST &amp; INVESTMENT INCOME</t>
  </si>
  <si>
    <t xml:space="preserve">MISCELLANEOUS INCOME </t>
  </si>
  <si>
    <t>SALARIES (FROM SCHEDULE A-2)</t>
  </si>
  <si>
    <t>HEALTH INSURANCE  EMPLOYER PAID (FROM SCHEDULE A-2)</t>
  </si>
  <si>
    <t>EMPLOYER FICA (FROM SCHEDULE A-2)</t>
  </si>
  <si>
    <t>FRINGE BENEFITS (FROM SCHEDULE A-2)</t>
  </si>
  <si>
    <t>PROFESSIONAL GROWTH/ MINISTERIAL/ OTHER (SCHD. A-2)</t>
  </si>
  <si>
    <t>BOOKS &amp; SUPPLIES, NON LITURGICAL</t>
  </si>
  <si>
    <t>FOOD SERVICES &amp; MEALS</t>
  </si>
  <si>
    <t>TELEPHONE</t>
  </si>
  <si>
    <t>HEATING FUEL</t>
  </si>
  <si>
    <t>ELECTRICITY</t>
  </si>
  <si>
    <t>OTHER UTILITIES</t>
  </si>
  <si>
    <t>BINGO EXPENSES</t>
  </si>
  <si>
    <t xml:space="preserve">PROPERTY/CASUALTY INSURANCE </t>
  </si>
  <si>
    <t>AUTO INSURANCE PRIEST OWNED VEHICLE</t>
  </si>
  <si>
    <t>MISCELLANEOUS</t>
  </si>
  <si>
    <t>2010/2009 Growth</t>
  </si>
  <si>
    <t>2010/2009 Differential</t>
  </si>
  <si>
    <t xml:space="preserve"> OUTSIDE FUNDING SOURCES</t>
  </si>
  <si>
    <t>NET CAPITAL PROFIT</t>
  </si>
  <si>
    <t>TOTAL CAPITAL REVENUE</t>
  </si>
  <si>
    <t>CAPITAL IMPROVEMENTS</t>
  </si>
  <si>
    <t>CAPITAL PURCHASE OR CONSTRUCTION</t>
  </si>
  <si>
    <t>CAPITAL EXPENDITURES</t>
  </si>
  <si>
    <t>CAPITAL COLLECTIONS</t>
  </si>
  <si>
    <t>SALE OF PROPERTY</t>
  </si>
  <si>
    <t>CAPITAL REVENUES</t>
  </si>
  <si>
    <t>NET EXTRAORDINARY OPERATING ACTIVITY</t>
  </si>
  <si>
    <t>TOTAL EXTRAORDINARY OPERATING EXPENSE</t>
  </si>
  <si>
    <t>OTHER EXTRAORDINARY EXPENSES</t>
  </si>
  <si>
    <t>PAYMENT OF ARCH. REQUIRED COLLECTIONS</t>
  </si>
  <si>
    <t xml:space="preserve">SHARING FROM PARISH GENERAL FUNDS </t>
  </si>
  <si>
    <t>SHARING COLL. PAID TO OTHER PARISHES</t>
  </si>
  <si>
    <t>EXPENSES COVERED BY INSURANCE</t>
  </si>
  <si>
    <t>EXTRAORDINARY OPERATING EXPENSES:</t>
  </si>
  <si>
    <t>TOTAL EXTRAORDINARY OPERATING REVENUE</t>
  </si>
  <si>
    <t>OTHER EXTRAORDINARY INCOME</t>
  </si>
  <si>
    <t>ANNUAL APPEAL REBATE</t>
  </si>
  <si>
    <t>PARISH EDUCATIONAL ENDOWMENT FUND</t>
  </si>
  <si>
    <t>PARISH  ENDOWMENT FUND COLLECTION</t>
  </si>
  <si>
    <t>CHURCH MILLENNIUM CAMPAIGN FUNDS</t>
  </si>
  <si>
    <t>ESTATES, BEQUESTS AND MEMORIALS</t>
  </si>
  <si>
    <t>ARCHDIOCESAN REQUIRED COLLECTIONS</t>
  </si>
  <si>
    <t>SHARING MONEY REC'D FROM OTHER PARISHES</t>
  </si>
  <si>
    <t>SHARING COLLECTION FOR OTHER PARISHES</t>
  </si>
  <si>
    <t>INSURANCE RECOVERIES</t>
  </si>
  <si>
    <t>EXTRAORDINARY OPERATING REVENUE:</t>
  </si>
  <si>
    <t>NET OPERATING PROFIT</t>
  </si>
  <si>
    <t>ORDINARY OPERATING REVENUE</t>
  </si>
  <si>
    <t>%</t>
  </si>
  <si>
    <t>2008A</t>
  </si>
  <si>
    <t>2007A</t>
  </si>
  <si>
    <t>2009A</t>
  </si>
  <si>
    <t>FUND COLLECTIONS</t>
  </si>
  <si>
    <t>SPECIAL COLLECTIONS</t>
  </si>
  <si>
    <t>FUNDRAISING</t>
  </si>
  <si>
    <t xml:space="preserve">OTHER </t>
  </si>
  <si>
    <t>SALARY RELATED COSTS</t>
  </si>
  <si>
    <t>ASSESSMENTS/INSURANCE</t>
  </si>
  <si>
    <t>Capital Account Available for Future Use</t>
  </si>
  <si>
    <t>Expected Payments from Capital Account</t>
  </si>
  <si>
    <t>Approved Payments</t>
  </si>
  <si>
    <t>Estimated Payments</t>
  </si>
  <si>
    <t>% DIFFERENCE</t>
  </si>
  <si>
    <t>PRORATED BUDGET</t>
  </si>
  <si>
    <t># OF MONTHS INTO THE FISCAL YEAR</t>
  </si>
  <si>
    <t>YTD ACTUALS</t>
  </si>
  <si>
    <t>ASSUMPTIONS</t>
  </si>
  <si>
    <t>AVAILABLE FUNDS</t>
  </si>
  <si>
    <t>START OF REPORTING PERIOD</t>
  </si>
  <si>
    <t>END OF REPORTING PERIOD</t>
  </si>
  <si>
    <t>CAPITAL ACCOUNT ACTIVITY</t>
  </si>
  <si>
    <t>NOMINAL $</t>
  </si>
  <si>
    <t>NOTES</t>
  </si>
  <si>
    <t>CAPITAL STATEMENT</t>
  </si>
  <si>
    <t>INCOME STATEMENT</t>
  </si>
  <si>
    <t>Payments from the Account</t>
  </si>
  <si>
    <t>2010 YTD</t>
  </si>
  <si>
    <t>ORDINARY OPERATING EXPENSES</t>
  </si>
  <si>
    <t>UTIILITIES</t>
  </si>
  <si>
    <t>ACCOUNT #'S</t>
  </si>
  <si>
    <t>Contributions/Interest to Account</t>
  </si>
  <si>
    <t>Restricted Funds</t>
  </si>
  <si>
    <t>3020, 3030</t>
  </si>
  <si>
    <t>3040, 3100, 3200, 3350, 3400, 3500, 3550, 3600, 3700</t>
  </si>
  <si>
    <t>4010, 4030, 4040, 4050, 4250</t>
  </si>
  <si>
    <t>4750, 4760, 4780, 4790</t>
  </si>
  <si>
    <t>4400, 4410, 4420, 4430</t>
  </si>
  <si>
    <t>4060, 4100, 4150, 4200, 4450, 4550, 4600, 4650, 4700, 4800</t>
  </si>
  <si>
    <t>ITEM</t>
  </si>
  <si>
    <t>PRIORITY</t>
  </si>
  <si>
    <t>VENDOR</t>
  </si>
  <si>
    <t>Install new burner for boiler</t>
  </si>
  <si>
    <t>SM</t>
  </si>
  <si>
    <t>Replace heating coil</t>
  </si>
  <si>
    <t>Outdoor lighting to highlight church façade</t>
  </si>
  <si>
    <t>2011+</t>
  </si>
  <si>
    <t>AE</t>
  </si>
  <si>
    <t>Replace large can lights with energy efficient chandelier</t>
  </si>
  <si>
    <t>Replace sacristy light with energy efficient lighting</t>
  </si>
  <si>
    <t>Sound - main system upgrade</t>
  </si>
  <si>
    <t>BS</t>
  </si>
  <si>
    <t>Sound - assistive listening system</t>
  </si>
  <si>
    <t>Sound - overhead speaker replacement</t>
  </si>
  <si>
    <t>Sound - choir microphone / rack / recorder</t>
  </si>
  <si>
    <t xml:space="preserve">Bells </t>
  </si>
  <si>
    <t>V</t>
  </si>
  <si>
    <t>Remove two cherry trees and grind stumps</t>
  </si>
  <si>
    <t>CT</t>
  </si>
  <si>
    <t>CHURCH SUBTOTAL</t>
  </si>
  <si>
    <t>RECTORY</t>
  </si>
  <si>
    <t>Replace all cloth wiring; new circuits; balance load</t>
  </si>
  <si>
    <t>Replace 50 windows</t>
  </si>
  <si>
    <t>IS</t>
  </si>
  <si>
    <t>Tuck pointing; chimney repairs; replace 2 limestone sills</t>
  </si>
  <si>
    <t>FR</t>
  </si>
  <si>
    <t>Redo Plumbing</t>
  </si>
  <si>
    <t>Limestone façade - repair, re-mortar, clean and seal</t>
  </si>
  <si>
    <t>RECTORY SUBTOTAL</t>
  </si>
  <si>
    <t>PARISH CENTER</t>
  </si>
  <si>
    <t>PARISH CENTER SUBTOTAL</t>
  </si>
  <si>
    <t>TOTAL CAPITAL NEEDS ('10 - '12)</t>
  </si>
  <si>
    <t>TOTAL CAPITAL COSTS BUDGETED FOR 2010</t>
  </si>
  <si>
    <t>Vendors</t>
  </si>
  <si>
    <t>Argo Electric</t>
  </si>
  <si>
    <t>Burke Sound</t>
  </si>
  <si>
    <t>Fortune Restoration</t>
  </si>
  <si>
    <t xml:space="preserve">IS </t>
  </si>
  <si>
    <t>Illinois Sash</t>
  </si>
  <si>
    <t xml:space="preserve">SM </t>
  </si>
  <si>
    <t>Stanton Mechanical</t>
  </si>
  <si>
    <t>Verdin</t>
  </si>
  <si>
    <t>STATUS</t>
  </si>
  <si>
    <t>Complete</t>
  </si>
  <si>
    <t>TOTAL CAPITAL COSTS INCURRED IN 2010</t>
  </si>
  <si>
    <t>TOTAL CAPITAL COSTS PENDING IN 2010</t>
  </si>
  <si>
    <t>OPERATING STATEMENT</t>
  </si>
  <si>
    <t>OPERATING ACCOUNT ACTIVITY</t>
  </si>
  <si>
    <t>Expected Payments from Operating Account</t>
  </si>
  <si>
    <t>Operating Account Available for Future Use</t>
  </si>
  <si>
    <t>COST 
ESTIMATE</t>
  </si>
  <si>
    <t>PARISH</t>
  </si>
  <si>
    <t>Develop Master Plan</t>
  </si>
  <si>
    <t>Need to decide on vendor.</t>
  </si>
  <si>
    <t>Upgrade computer system</t>
  </si>
  <si>
    <t xml:space="preserve">    Server 2008 upgrade (Software)</t>
  </si>
  <si>
    <t xml:space="preserve">    New Server PC (Hardware)</t>
  </si>
  <si>
    <t xml:space="preserve">    Office 2007 upgrade (Software)</t>
  </si>
  <si>
    <t xml:space="preserve">    Windows 7 upgrades (5) (Software)</t>
  </si>
  <si>
    <t>Repave parking lot</t>
  </si>
  <si>
    <t>Need two more quotes</t>
  </si>
  <si>
    <t>PARISH SUBTOTAL</t>
  </si>
  <si>
    <t>$28,000 was an option with a different fixture mfg.</t>
  </si>
  <si>
    <t>REC</t>
  </si>
  <si>
    <t>Decommission Old School Building</t>
  </si>
  <si>
    <t>Install boiler in REC</t>
  </si>
  <si>
    <t>Install roof top units to air condition REC</t>
  </si>
  <si>
    <t>Can't locate original quote</t>
  </si>
  <si>
    <t>REC SUBTOTAL</t>
  </si>
  <si>
    <t>Waiting for qoute from SM</t>
  </si>
  <si>
    <t>Replace carpeting</t>
  </si>
  <si>
    <t>Need quotes; can't locate original quote</t>
  </si>
  <si>
    <t>OLD SCHOOL BUILDING</t>
  </si>
  <si>
    <t>Demolish Old School</t>
  </si>
  <si>
    <t>Need to decide on vendor</t>
  </si>
  <si>
    <t>Asbestos removal from Old School</t>
  </si>
  <si>
    <t>Remove Old School from Fire Alarm Sys</t>
  </si>
  <si>
    <t>Need quotes</t>
  </si>
  <si>
    <t>Reroute communication lines to Avila Place</t>
  </si>
  <si>
    <t xml:space="preserve">Restoration REC and Avila Place </t>
  </si>
  <si>
    <t>Care of Trees</t>
  </si>
  <si>
    <t>Replace cloth wire in church where still in use</t>
  </si>
  <si>
    <t># OF WEEKLY ATTENDEES</t>
  </si>
  <si>
    <t>OPERATING REVENUE PER PERSON PER WEEK</t>
  </si>
  <si>
    <t>OPERATING COSTS PER PERSON PER WEEK</t>
  </si>
  <si>
    <t>WEEKLY SUNDAY &amp; HOLY DAY COLLECTIONS</t>
  </si>
  <si>
    <t>DESCRIPTIVE STATISTICS</t>
  </si>
  <si>
    <t>WEEKLY OPERATING COSTS</t>
  </si>
  <si>
    <t>2011E</t>
  </si>
  <si>
    <t>2011/2010 Differential</t>
  </si>
  <si>
    <t>2011/2010 Growth</t>
  </si>
  <si>
    <t>2010A</t>
  </si>
  <si>
    <t>2011 YTD</t>
  </si>
  <si>
    <t>Loan Repayment Rewiring for Church and Rectory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</si>
</sst>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0.0%"/>
    <numFmt numFmtId="171" formatCode="_(&quot;$&quot;* #,##0.000_);_(&quot;$&quot;* \(#,##0.000\);_(&quot;$&quot;* &quot;-&quot;??_);_(@_)"/>
    <numFmt numFmtId="172" formatCode="0.000%"/>
    <numFmt numFmtId="173" formatCode="[$-409]dddd\,\ mmmm\ dd\,\ yyyy"/>
    <numFmt numFmtId="174" formatCode="[$-F800]dddd\,\ mmmm\ dd\,\ yyyy"/>
    <numFmt numFmtId="175" formatCode="mmmm\ dd\,\ yyyy"/>
    <numFmt numFmtId="176" formatCode="m/d/yy;@"/>
  </numFmts>
  <fonts count="2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8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1" fontId="11" fillId="0" borderId="0">
      <alignment/>
      <protection/>
    </xf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164" fontId="3" fillId="0" borderId="0" xfId="0" applyNumberFormat="1" applyFont="1" applyAlignment="1" applyProtection="1">
      <alignment horizontal="center"/>
      <protection/>
    </xf>
    <xf numFmtId="0" fontId="3" fillId="0" borderId="0" xfId="60" applyFont="1">
      <alignment/>
      <protection/>
    </xf>
    <xf numFmtId="0" fontId="3" fillId="0" borderId="0" xfId="60" applyFont="1" applyBorder="1">
      <alignment/>
      <protection/>
    </xf>
    <xf numFmtId="0" fontId="4" fillId="0" borderId="0" xfId="60" applyFont="1" applyAlignment="1" applyProtection="1">
      <alignment horizontal="left"/>
      <protection/>
    </xf>
    <xf numFmtId="44" fontId="3" fillId="0" borderId="0" xfId="47" applyFont="1" applyBorder="1" applyAlignment="1">
      <alignment/>
    </xf>
    <xf numFmtId="0" fontId="3" fillId="15" borderId="10" xfId="60" applyFont="1" applyFill="1" applyBorder="1">
      <alignment/>
      <protection/>
    </xf>
    <xf numFmtId="44" fontId="3" fillId="15" borderId="10" xfId="47" applyFont="1" applyFill="1" applyBorder="1" applyAlignment="1" applyProtection="1">
      <alignment horizontal="center"/>
      <protection/>
    </xf>
    <xf numFmtId="0" fontId="3" fillId="15" borderId="10" xfId="60" applyFont="1" applyFill="1" applyBorder="1" applyAlignment="1" applyProtection="1">
      <alignment horizontal="center"/>
      <protection/>
    </xf>
    <xf numFmtId="0" fontId="4" fillId="15" borderId="10" xfId="60" applyFont="1" applyFill="1" applyBorder="1" applyAlignment="1" applyProtection="1">
      <alignment horizontal="left"/>
      <protection/>
    </xf>
    <xf numFmtId="44" fontId="3" fillId="0" borderId="0" xfId="47" applyFont="1" applyBorder="1" applyAlignment="1">
      <alignment horizontal="center"/>
    </xf>
    <xf numFmtId="0" fontId="3" fillId="0" borderId="0" xfId="60" applyFont="1" applyBorder="1" applyAlignment="1">
      <alignment horizontal="center"/>
      <protection/>
    </xf>
    <xf numFmtId="0" fontId="3" fillId="0" borderId="0" xfId="60" applyFont="1" applyAlignment="1" applyProtection="1">
      <alignment horizontal="left"/>
      <protection/>
    </xf>
    <xf numFmtId="0" fontId="3" fillId="0" borderId="0" xfId="60" applyFont="1" applyAlignment="1">
      <alignment horizontal="center"/>
      <protection/>
    </xf>
    <xf numFmtId="0" fontId="4" fillId="0" borderId="0" xfId="60" applyFont="1">
      <alignment/>
      <protection/>
    </xf>
    <xf numFmtId="0" fontId="3" fillId="0" borderId="0" xfId="60" applyFont="1" applyAlignment="1" applyProtection="1">
      <alignment horizontal="center"/>
      <protection/>
    </xf>
    <xf numFmtId="44" fontId="3" fillId="0" borderId="0" xfId="47" applyFont="1" applyBorder="1" applyAlignment="1" applyProtection="1">
      <alignment horizontal="center"/>
      <protection/>
    </xf>
    <xf numFmtId="0" fontId="3" fillId="0" borderId="0" xfId="60" applyFont="1" applyBorder="1" applyAlignment="1" applyProtection="1">
      <alignment horizontal="center"/>
      <protection/>
    </xf>
    <xf numFmtId="0" fontId="3" fillId="0" borderId="0" xfId="60" applyFont="1" applyBorder="1" applyAlignment="1" applyProtection="1">
      <alignment horizontal="left"/>
      <protection/>
    </xf>
    <xf numFmtId="0" fontId="4" fillId="0" borderId="0" xfId="60" applyFont="1" applyBorder="1" applyAlignment="1" applyProtection="1">
      <alignment horizontal="left"/>
      <protection/>
    </xf>
    <xf numFmtId="0" fontId="4" fillId="15" borderId="10" xfId="60" applyFont="1" applyFill="1" applyBorder="1">
      <alignment/>
      <protection/>
    </xf>
    <xf numFmtId="44" fontId="4" fillId="15" borderId="10" xfId="47" applyFont="1" applyFill="1" applyBorder="1" applyAlignment="1" applyProtection="1">
      <alignment horizontal="center"/>
      <protection/>
    </xf>
    <xf numFmtId="0" fontId="4" fillId="15" borderId="10" xfId="60" applyFont="1" applyFill="1" applyBorder="1" applyAlignment="1" applyProtection="1">
      <alignment horizontal="center"/>
      <protection/>
    </xf>
    <xf numFmtId="0" fontId="5" fillId="0" borderId="0" xfId="60" applyFont="1" applyBorder="1" applyAlignment="1" applyProtection="1">
      <alignment horizontal="left"/>
      <protection/>
    </xf>
    <xf numFmtId="0" fontId="6" fillId="0" borderId="0" xfId="60" applyFont="1" applyFill="1">
      <alignment/>
      <protection/>
    </xf>
    <xf numFmtId="167" fontId="3" fillId="0" borderId="0" xfId="42" applyNumberFormat="1" applyFont="1" applyFill="1" applyAlignment="1">
      <alignment/>
    </xf>
    <xf numFmtId="0" fontId="3" fillId="0" borderId="0" xfId="60" applyFont="1" applyFill="1">
      <alignment/>
      <protection/>
    </xf>
    <xf numFmtId="0" fontId="4" fillId="0" borderId="0" xfId="60" applyFont="1" applyFill="1">
      <alignment/>
      <protection/>
    </xf>
    <xf numFmtId="0" fontId="4" fillId="0" borderId="0" xfId="60" applyFont="1" applyFill="1" applyBorder="1" applyAlignment="1" applyProtection="1">
      <alignment horizontal="left"/>
      <protection/>
    </xf>
    <xf numFmtId="0" fontId="4" fillId="0" borderId="10" xfId="60" applyFont="1" applyFill="1" applyBorder="1" applyAlignment="1" applyProtection="1">
      <alignment horizontal="left"/>
      <protection/>
    </xf>
    <xf numFmtId="0" fontId="3" fillId="0" borderId="0" xfId="60" applyFont="1" applyFill="1" applyBorder="1">
      <alignment/>
      <protection/>
    </xf>
    <xf numFmtId="0" fontId="4" fillId="0" borderId="0" xfId="60" applyFont="1" applyFill="1" applyBorder="1">
      <alignment/>
      <protection/>
    </xf>
    <xf numFmtId="0" fontId="4" fillId="0" borderId="0" xfId="60" applyFont="1" applyFill="1" applyBorder="1" applyAlignment="1">
      <alignment wrapText="1"/>
      <protection/>
    </xf>
    <xf numFmtId="0" fontId="3" fillId="0" borderId="0" xfId="60" applyFont="1" applyFill="1" applyBorder="1" applyAlignment="1">
      <alignment wrapText="1"/>
      <protection/>
    </xf>
    <xf numFmtId="0" fontId="4" fillId="0" borderId="11" xfId="60" applyFont="1" applyFill="1" applyBorder="1">
      <alignment/>
      <protection/>
    </xf>
    <xf numFmtId="0" fontId="4" fillId="8" borderId="0" xfId="60" applyFont="1" applyFill="1">
      <alignment/>
      <protection/>
    </xf>
    <xf numFmtId="0" fontId="3" fillId="8" borderId="0" xfId="60" applyFont="1" applyFill="1">
      <alignment/>
      <protection/>
    </xf>
    <xf numFmtId="0" fontId="3" fillId="0" borderId="0" xfId="60" applyFont="1" applyAlignment="1">
      <alignment horizontal="left" indent="1"/>
      <protection/>
    </xf>
    <xf numFmtId="0" fontId="4" fillId="0" borderId="0" xfId="60" applyFont="1" applyAlignment="1">
      <alignment horizontal="center"/>
      <protection/>
    </xf>
    <xf numFmtId="0" fontId="4" fillId="15" borderId="0" xfId="60" applyFont="1" applyFill="1">
      <alignment/>
      <protection/>
    </xf>
    <xf numFmtId="0" fontId="3" fillId="15" borderId="0" xfId="60" applyFont="1" applyFill="1">
      <alignment/>
      <protection/>
    </xf>
    <xf numFmtId="0" fontId="4" fillId="0" borderId="11" xfId="60" applyFont="1" applyBorder="1">
      <alignment/>
      <protection/>
    </xf>
    <xf numFmtId="167" fontId="4" fillId="0" borderId="11" xfId="42" applyNumberFormat="1" applyFont="1" applyFill="1" applyBorder="1" applyAlignment="1">
      <alignment/>
    </xf>
    <xf numFmtId="176" fontId="3" fillId="22" borderId="0" xfId="48" applyNumberFormat="1" applyFill="1">
      <alignment/>
      <protection/>
    </xf>
    <xf numFmtId="0" fontId="3" fillId="0" borderId="0" xfId="60" applyFont="1" applyFill="1" applyBorder="1" applyAlignment="1">
      <alignment horizontal="left"/>
      <protection/>
    </xf>
    <xf numFmtId="0" fontId="9" fillId="15" borderId="0" xfId="60" applyFont="1" applyFill="1" applyBorder="1" applyAlignment="1">
      <alignment horizontal="center" wrapText="1"/>
      <protection/>
    </xf>
    <xf numFmtId="0" fontId="9" fillId="15" borderId="0" xfId="60" applyFont="1" applyFill="1" applyBorder="1" applyAlignment="1">
      <alignment horizontal="center"/>
      <protection/>
    </xf>
    <xf numFmtId="0" fontId="10" fillId="0" borderId="0" xfId="60" applyFont="1" applyBorder="1">
      <alignment/>
      <protection/>
    </xf>
    <xf numFmtId="0" fontId="9" fillId="0" borderId="0" xfId="60" applyFont="1" applyFill="1" applyBorder="1" applyAlignment="1">
      <alignment horizontal="center" wrapText="1"/>
      <protection/>
    </xf>
    <xf numFmtId="169" fontId="9" fillId="0" borderId="0" xfId="47" applyNumberFormat="1" applyFont="1" applyFill="1" applyBorder="1" applyAlignment="1">
      <alignment horizontal="center"/>
    </xf>
    <xf numFmtId="0" fontId="10" fillId="0" borderId="0" xfId="60" applyFont="1" applyFill="1" applyBorder="1" applyAlignment="1">
      <alignment horizontal="center"/>
      <protection/>
    </xf>
    <xf numFmtId="0" fontId="9" fillId="0" borderId="0" xfId="60" applyFont="1" applyFill="1" applyBorder="1" applyAlignment="1">
      <alignment horizontal="center"/>
      <protection/>
    </xf>
    <xf numFmtId="0" fontId="9" fillId="0" borderId="12" xfId="60" applyFont="1" applyBorder="1" applyAlignment="1">
      <alignment wrapText="1"/>
      <protection/>
    </xf>
    <xf numFmtId="169" fontId="10" fillId="0" borderId="12" xfId="47" applyNumberFormat="1" applyFont="1" applyBorder="1" applyAlignment="1">
      <alignment/>
    </xf>
    <xf numFmtId="0" fontId="10" fillId="0" borderId="12" xfId="60" applyFont="1" applyBorder="1" applyAlignment="1">
      <alignment horizontal="center"/>
      <protection/>
    </xf>
    <xf numFmtId="0" fontId="10" fillId="0" borderId="12" xfId="60" applyFont="1" applyBorder="1">
      <alignment/>
      <protection/>
    </xf>
    <xf numFmtId="0" fontId="10" fillId="0" borderId="0" xfId="60" applyFont="1" applyBorder="1" applyAlignment="1">
      <alignment wrapText="1"/>
      <protection/>
    </xf>
    <xf numFmtId="169" fontId="10" fillId="0" borderId="0" xfId="47" applyNumberFormat="1" applyFont="1" applyBorder="1" applyAlignment="1">
      <alignment/>
    </xf>
    <xf numFmtId="0" fontId="10" fillId="0" borderId="0" xfId="60" applyFont="1" applyBorder="1" applyAlignment="1">
      <alignment horizontal="center"/>
      <protection/>
    </xf>
    <xf numFmtId="0" fontId="10" fillId="0" borderId="13" xfId="60" applyFont="1" applyBorder="1" applyAlignment="1">
      <alignment wrapText="1"/>
      <protection/>
    </xf>
    <xf numFmtId="169" fontId="10" fillId="0" borderId="13" xfId="47" applyNumberFormat="1" applyFont="1" applyBorder="1" applyAlignment="1">
      <alignment/>
    </xf>
    <xf numFmtId="0" fontId="10" fillId="0" borderId="13" xfId="60" applyFont="1" applyBorder="1" applyAlignment="1">
      <alignment horizontal="center"/>
      <protection/>
    </xf>
    <xf numFmtId="0" fontId="10" fillId="0" borderId="13" xfId="60" applyFont="1" applyBorder="1">
      <alignment/>
      <protection/>
    </xf>
    <xf numFmtId="0" fontId="9" fillId="0" borderId="0" xfId="60" applyFont="1" applyBorder="1" applyAlignment="1">
      <alignment wrapText="1"/>
      <protection/>
    </xf>
    <xf numFmtId="169" fontId="9" fillId="0" borderId="0" xfId="47" applyNumberFormat="1" applyFont="1" applyBorder="1" applyAlignment="1">
      <alignment/>
    </xf>
    <xf numFmtId="0" fontId="9" fillId="0" borderId="0" xfId="60" applyFont="1" applyBorder="1">
      <alignment/>
      <protection/>
    </xf>
    <xf numFmtId="0" fontId="9" fillId="0" borderId="0" xfId="60" applyFont="1" applyBorder="1" applyAlignment="1">
      <alignment horizontal="center"/>
      <protection/>
    </xf>
    <xf numFmtId="169" fontId="9" fillId="0" borderId="12" xfId="47" applyNumberFormat="1" applyFont="1" applyBorder="1" applyAlignment="1">
      <alignment/>
    </xf>
    <xf numFmtId="0" fontId="9" fillId="0" borderId="12" xfId="60" applyFont="1" applyBorder="1">
      <alignment/>
      <protection/>
    </xf>
    <xf numFmtId="0" fontId="10" fillId="0" borderId="14" xfId="60" applyFont="1" applyBorder="1" applyAlignment="1">
      <alignment wrapText="1"/>
      <protection/>
    </xf>
    <xf numFmtId="169" fontId="10" fillId="0" borderId="14" xfId="47" applyNumberFormat="1" applyFont="1" applyBorder="1" applyAlignment="1">
      <alignment/>
    </xf>
    <xf numFmtId="0" fontId="10" fillId="0" borderId="14" xfId="60" applyFont="1" applyBorder="1" applyAlignment="1">
      <alignment horizontal="center"/>
      <protection/>
    </xf>
    <xf numFmtId="0" fontId="10" fillId="0" borderId="14" xfId="60" applyFont="1" applyBorder="1">
      <alignment/>
      <protection/>
    </xf>
    <xf numFmtId="0" fontId="9" fillId="0" borderId="13" xfId="60" applyFont="1" applyBorder="1" applyAlignment="1">
      <alignment wrapText="1"/>
      <protection/>
    </xf>
    <xf numFmtId="169" fontId="9" fillId="0" borderId="13" xfId="47" applyNumberFormat="1" applyFont="1" applyBorder="1" applyAlignment="1">
      <alignment/>
    </xf>
    <xf numFmtId="0" fontId="3" fillId="0" borderId="0" xfId="60" applyFont="1" applyFill="1" applyAlignment="1" applyProtection="1">
      <alignment horizontal="center"/>
      <protection/>
    </xf>
    <xf numFmtId="0" fontId="3" fillId="0" borderId="0" xfId="60" applyFont="1" applyFill="1" applyAlignment="1" applyProtection="1">
      <alignment horizontal="left"/>
      <protection/>
    </xf>
    <xf numFmtId="169" fontId="3" fillId="22" borderId="0" xfId="47" applyNumberFormat="1" applyFont="1" applyFill="1" applyBorder="1" applyAlignment="1">
      <alignment/>
    </xf>
    <xf numFmtId="167" fontId="3" fillId="22" borderId="0" xfId="44" applyNumberFormat="1" applyFont="1" applyFill="1" applyAlignment="1">
      <alignment/>
    </xf>
    <xf numFmtId="169" fontId="9" fillId="15" borderId="0" xfId="47" applyNumberFormat="1" applyFont="1" applyFill="1" applyBorder="1" applyAlignment="1">
      <alignment horizontal="center" wrapText="1"/>
    </xf>
    <xf numFmtId="167" fontId="3" fillId="0" borderId="0" xfId="44" applyNumberFormat="1" applyFont="1" applyFill="1" applyAlignment="1">
      <alignment/>
    </xf>
    <xf numFmtId="167" fontId="4" fillId="0" borderId="11" xfId="44" applyNumberFormat="1" applyFont="1" applyFill="1" applyBorder="1" applyAlignment="1">
      <alignment/>
    </xf>
    <xf numFmtId="167" fontId="3" fillId="22" borderId="0" xfId="44" applyNumberFormat="1" applyFont="1" applyFill="1" applyBorder="1" applyAlignment="1">
      <alignment/>
    </xf>
    <xf numFmtId="170" fontId="3" fillId="0" borderId="0" xfId="65" applyNumberFormat="1" applyFont="1" applyFill="1" applyBorder="1" applyAlignment="1">
      <alignment/>
    </xf>
    <xf numFmtId="169" fontId="3" fillId="0" borderId="0" xfId="47" applyNumberFormat="1" applyFont="1" applyFill="1" applyBorder="1" applyAlignment="1">
      <alignment/>
    </xf>
    <xf numFmtId="9" fontId="3" fillId="0" borderId="0" xfId="65" applyFont="1" applyFill="1" applyBorder="1" applyAlignment="1">
      <alignment/>
    </xf>
    <xf numFmtId="169" fontId="3" fillId="0" borderId="0" xfId="47" applyNumberFormat="1" applyFont="1" applyFill="1" applyBorder="1" applyAlignment="1" quotePrefix="1">
      <alignment/>
    </xf>
    <xf numFmtId="169" fontId="4" fillId="0" borderId="0" xfId="47" applyNumberFormat="1" applyFont="1" applyFill="1" applyBorder="1" applyAlignment="1">
      <alignment horizontal="center" wrapText="1"/>
    </xf>
    <xf numFmtId="170" fontId="4" fillId="0" borderId="0" xfId="65" applyNumberFormat="1" applyFont="1" applyFill="1" applyBorder="1" applyAlignment="1">
      <alignment horizontal="center" wrapText="1"/>
    </xf>
    <xf numFmtId="169" fontId="3" fillId="0" borderId="0" xfId="47" applyNumberFormat="1" applyFont="1" applyFill="1" applyBorder="1" applyAlignment="1">
      <alignment wrapText="1"/>
    </xf>
    <xf numFmtId="9" fontId="4" fillId="0" borderId="0" xfId="65" applyFont="1" applyFill="1" applyBorder="1" applyAlignment="1">
      <alignment horizontal="center" wrapText="1"/>
    </xf>
    <xf numFmtId="0" fontId="3" fillId="0" borderId="0" xfId="60" applyFont="1" applyFill="1" applyBorder="1" applyAlignment="1" applyProtection="1">
      <alignment horizontal="left"/>
      <protection/>
    </xf>
    <xf numFmtId="164" fontId="3" fillId="0" borderId="0" xfId="60" applyNumberFormat="1" applyFont="1" applyAlignment="1" applyProtection="1">
      <alignment horizontal="left"/>
      <protection/>
    </xf>
    <xf numFmtId="169" fontId="4" fillId="0" borderId="11" xfId="47" applyNumberFormat="1" applyFont="1" applyFill="1" applyBorder="1" applyAlignment="1">
      <alignment/>
    </xf>
    <xf numFmtId="170" fontId="4" fillId="0" borderId="11" xfId="65" applyNumberFormat="1" applyFont="1" applyFill="1" applyBorder="1" applyAlignment="1">
      <alignment/>
    </xf>
    <xf numFmtId="9" fontId="4" fillId="0" borderId="10" xfId="65" applyFont="1" applyFill="1" applyBorder="1" applyAlignment="1">
      <alignment/>
    </xf>
    <xf numFmtId="164" fontId="3" fillId="0" borderId="0" xfId="60" applyNumberFormat="1" applyFont="1" applyAlignment="1" applyProtection="1">
      <alignment horizontal="center"/>
      <protection/>
    </xf>
    <xf numFmtId="9" fontId="4" fillId="0" borderId="11" xfId="65" applyFont="1" applyFill="1" applyBorder="1" applyAlignment="1">
      <alignment/>
    </xf>
    <xf numFmtId="169" fontId="4" fillId="0" borderId="10" xfId="47" applyNumberFormat="1" applyFont="1" applyFill="1" applyBorder="1" applyAlignment="1">
      <alignment/>
    </xf>
    <xf numFmtId="170" fontId="4" fillId="0" borderId="10" xfId="65" applyNumberFormat="1" applyFont="1" applyFill="1" applyBorder="1" applyAlignment="1">
      <alignment/>
    </xf>
    <xf numFmtId="9" fontId="3" fillId="0" borderId="10" xfId="65" applyFont="1" applyFill="1" applyBorder="1" applyAlignment="1">
      <alignment/>
    </xf>
    <xf numFmtId="169" fontId="4" fillId="0" borderId="0" xfId="47" applyNumberFormat="1" applyFont="1" applyFill="1" applyBorder="1" applyAlignment="1">
      <alignment/>
    </xf>
    <xf numFmtId="170" fontId="4" fillId="0" borderId="0" xfId="65" applyNumberFormat="1" applyFont="1" applyFill="1" applyBorder="1" applyAlignment="1">
      <alignment/>
    </xf>
    <xf numFmtId="9" fontId="4" fillId="0" borderId="0" xfId="65" applyFont="1" applyFill="1" applyBorder="1" applyAlignment="1">
      <alignment/>
    </xf>
    <xf numFmtId="0" fontId="4" fillId="0" borderId="0" xfId="60" applyFont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left"/>
      <protection/>
    </xf>
    <xf numFmtId="9" fontId="3" fillId="0" borderId="0" xfId="65" applyNumberFormat="1" applyFont="1" applyFill="1" applyBorder="1" applyAlignment="1">
      <alignment/>
    </xf>
    <xf numFmtId="0" fontId="6" fillId="0" borderId="0" xfId="60" applyFont="1" applyFill="1" applyBorder="1">
      <alignment/>
      <protection/>
    </xf>
    <xf numFmtId="169" fontId="7" fillId="0" borderId="0" xfId="47" applyNumberFormat="1" applyFont="1" applyFill="1" applyBorder="1" applyAlignment="1">
      <alignment horizontal="center"/>
    </xf>
    <xf numFmtId="44" fontId="7" fillId="0" borderId="0" xfId="47" applyFont="1" applyFill="1" applyBorder="1" applyAlignment="1">
      <alignment horizontal="center"/>
    </xf>
    <xf numFmtId="9" fontId="6" fillId="0" borderId="0" xfId="65" applyNumberFormat="1" applyFont="1" applyFill="1" applyBorder="1" applyAlignment="1">
      <alignment/>
    </xf>
    <xf numFmtId="169" fontId="3" fillId="0" borderId="0" xfId="47" applyNumberFormat="1" applyFont="1" applyBorder="1" applyAlignment="1">
      <alignment/>
    </xf>
    <xf numFmtId="9" fontId="3" fillId="0" borderId="0" xfId="65" applyNumberFormat="1" applyFont="1" applyBorder="1" applyAlignment="1">
      <alignment/>
    </xf>
    <xf numFmtId="169" fontId="3" fillId="0" borderId="0" xfId="47" applyNumberFormat="1" applyFont="1" applyBorder="1" applyAlignment="1">
      <alignment horizontal="center"/>
    </xf>
    <xf numFmtId="169" fontId="4" fillId="15" borderId="10" xfId="47" applyNumberFormat="1" applyFont="1" applyFill="1" applyBorder="1" applyAlignment="1" applyProtection="1">
      <alignment horizontal="center"/>
      <protection/>
    </xf>
    <xf numFmtId="9" fontId="4" fillId="15" borderId="10" xfId="65" applyNumberFormat="1" applyFont="1" applyFill="1" applyBorder="1" applyAlignment="1">
      <alignment/>
    </xf>
    <xf numFmtId="169" fontId="3" fillId="0" borderId="0" xfId="47" applyNumberFormat="1" applyFont="1" applyBorder="1" applyAlignment="1" applyProtection="1">
      <alignment horizontal="center"/>
      <protection/>
    </xf>
    <xf numFmtId="9" fontId="3" fillId="0" borderId="0" xfId="44" applyNumberFormat="1" applyFont="1" applyBorder="1" applyAlignment="1">
      <alignment/>
    </xf>
    <xf numFmtId="169" fontId="3" fillId="15" borderId="10" xfId="47" applyNumberFormat="1" applyFont="1" applyFill="1" applyBorder="1" applyAlignment="1" applyProtection="1">
      <alignment horizontal="center"/>
      <protection/>
    </xf>
    <xf numFmtId="169" fontId="4" fillId="15" borderId="10" xfId="47" applyNumberFormat="1" applyFont="1" applyFill="1" applyBorder="1" applyAlignment="1">
      <alignment/>
    </xf>
    <xf numFmtId="9" fontId="3" fillId="15" borderId="10" xfId="44" applyNumberFormat="1" applyFont="1" applyFill="1" applyBorder="1" applyAlignment="1">
      <alignment/>
    </xf>
    <xf numFmtId="0" fontId="4" fillId="6" borderId="15" xfId="60" applyFont="1" applyFill="1" applyBorder="1">
      <alignment/>
      <protection/>
    </xf>
    <xf numFmtId="0" fontId="4" fillId="6" borderId="15" xfId="60" applyFont="1" applyFill="1" applyBorder="1" applyAlignment="1" applyProtection="1">
      <alignment horizontal="left"/>
      <protection/>
    </xf>
    <xf numFmtId="0" fontId="4" fillId="6" borderId="15" xfId="60" applyFont="1" applyFill="1" applyBorder="1" applyAlignment="1" applyProtection="1">
      <alignment horizontal="center"/>
      <protection/>
    </xf>
    <xf numFmtId="169" fontId="4" fillId="6" borderId="15" xfId="47" applyNumberFormat="1" applyFont="1" applyFill="1" applyBorder="1" applyAlignment="1" applyProtection="1">
      <alignment horizontal="center"/>
      <protection/>
    </xf>
    <xf numFmtId="44" fontId="4" fillId="6" borderId="15" xfId="47" applyFont="1" applyFill="1" applyBorder="1" applyAlignment="1" applyProtection="1">
      <alignment horizontal="center"/>
      <protection/>
    </xf>
    <xf numFmtId="169" fontId="4" fillId="6" borderId="15" xfId="47" applyNumberFormat="1" applyFont="1" applyFill="1" applyBorder="1" applyAlignment="1">
      <alignment/>
    </xf>
    <xf numFmtId="9" fontId="4" fillId="6" borderId="15" xfId="44" applyNumberFormat="1" applyFont="1" applyFill="1" applyBorder="1" applyAlignment="1">
      <alignment/>
    </xf>
    <xf numFmtId="0" fontId="3" fillId="6" borderId="15" xfId="60" applyFont="1" applyFill="1" applyBorder="1" applyAlignment="1">
      <alignment horizontal="center"/>
      <protection/>
    </xf>
    <xf numFmtId="0" fontId="3" fillId="6" borderId="15" xfId="60" applyFont="1" applyFill="1" applyBorder="1">
      <alignment/>
      <protection/>
    </xf>
    <xf numFmtId="169" fontId="3" fillId="6" borderId="15" xfId="47" applyNumberFormat="1" applyFont="1" applyFill="1" applyBorder="1" applyAlignment="1">
      <alignment/>
    </xf>
    <xf numFmtId="44" fontId="3" fillId="6" borderId="15" xfId="47" applyFont="1" applyFill="1" applyBorder="1" applyAlignment="1">
      <alignment/>
    </xf>
    <xf numFmtId="9" fontId="3" fillId="6" borderId="15" xfId="44" applyNumberFormat="1" applyFont="1" applyFill="1" applyBorder="1" applyAlignment="1">
      <alignment/>
    </xf>
    <xf numFmtId="0" fontId="3" fillId="6" borderId="15" xfId="60" applyFont="1" applyFill="1" applyBorder="1" applyAlignment="1" applyProtection="1">
      <alignment horizontal="center"/>
      <protection/>
    </xf>
    <xf numFmtId="44" fontId="3" fillId="6" borderId="15" xfId="47" applyFont="1" applyFill="1" applyBorder="1" applyAlignment="1" applyProtection="1">
      <alignment horizontal="center"/>
      <protection/>
    </xf>
    <xf numFmtId="9" fontId="4" fillId="6" borderId="15" xfId="65" applyNumberFormat="1" applyFont="1" applyFill="1" applyBorder="1" applyAlignment="1">
      <alignment/>
    </xf>
    <xf numFmtId="44" fontId="4" fillId="6" borderId="15" xfId="47" applyFont="1" applyFill="1" applyBorder="1" applyAlignment="1">
      <alignment/>
    </xf>
    <xf numFmtId="0" fontId="3" fillId="20" borderId="0" xfId="60" applyFont="1" applyFill="1" applyBorder="1" applyAlignment="1">
      <alignment wrapText="1"/>
      <protection/>
    </xf>
    <xf numFmtId="169" fontId="4" fillId="20" borderId="0" xfId="47" applyNumberFormat="1" applyFont="1" applyFill="1" applyBorder="1" applyAlignment="1">
      <alignment horizontal="center" wrapText="1"/>
    </xf>
    <xf numFmtId="44" fontId="4" fillId="20" borderId="0" xfId="47" applyFont="1" applyFill="1" applyBorder="1" applyAlignment="1">
      <alignment horizontal="center" wrapText="1"/>
    </xf>
    <xf numFmtId="9" fontId="4" fillId="20" borderId="0" xfId="65" applyNumberFormat="1" applyFont="1" applyFill="1" applyBorder="1" applyAlignment="1">
      <alignment horizontal="center" wrapText="1"/>
    </xf>
    <xf numFmtId="169" fontId="4" fillId="3" borderId="0" xfId="47" applyNumberFormat="1" applyFont="1" applyFill="1" applyBorder="1" applyAlignment="1">
      <alignment horizontal="center" wrapText="1"/>
    </xf>
    <xf numFmtId="170" fontId="4" fillId="3" borderId="0" xfId="65" applyNumberFormat="1" applyFont="1" applyFill="1" applyBorder="1" applyAlignment="1">
      <alignment horizontal="center" wrapText="1"/>
    </xf>
    <xf numFmtId="169" fontId="6" fillId="0" borderId="0" xfId="47" applyNumberFormat="1" applyFont="1" applyFill="1" applyBorder="1" applyAlignment="1">
      <alignment/>
    </xf>
    <xf numFmtId="170" fontId="6" fillId="0" borderId="0" xfId="65" applyNumberFormat="1" applyFont="1" applyFill="1" applyBorder="1" applyAlignment="1">
      <alignment/>
    </xf>
    <xf numFmtId="170" fontId="3" fillId="0" borderId="0" xfId="65" applyNumberFormat="1" applyFont="1" applyBorder="1" applyAlignment="1">
      <alignment/>
    </xf>
    <xf numFmtId="170" fontId="4" fillId="6" borderId="15" xfId="65" applyNumberFormat="1" applyFont="1" applyFill="1" applyBorder="1" applyAlignment="1">
      <alignment/>
    </xf>
    <xf numFmtId="170" fontId="4" fillId="15" borderId="10" xfId="65" applyNumberFormat="1" applyFont="1" applyFill="1" applyBorder="1" applyAlignment="1">
      <alignment/>
    </xf>
    <xf numFmtId="169" fontId="4" fillId="0" borderId="0" xfId="47" applyNumberFormat="1" applyFont="1" applyBorder="1" applyAlignment="1">
      <alignment/>
    </xf>
    <xf numFmtId="9" fontId="7" fillId="0" borderId="0" xfId="65" applyNumberFormat="1" applyFont="1" applyFill="1" applyBorder="1" applyAlignment="1">
      <alignment horizontal="center"/>
    </xf>
    <xf numFmtId="9" fontId="3" fillId="0" borderId="0" xfId="65" applyNumberFormat="1" applyFont="1" applyBorder="1" applyAlignment="1">
      <alignment horizontal="center"/>
    </xf>
    <xf numFmtId="9" fontId="4" fillId="15" borderId="10" xfId="65" applyNumberFormat="1" applyFont="1" applyFill="1" applyBorder="1" applyAlignment="1" applyProtection="1">
      <alignment horizontal="center"/>
      <protection/>
    </xf>
    <xf numFmtId="9" fontId="3" fillId="0" borderId="0" xfId="65" applyNumberFormat="1" applyFont="1" applyBorder="1" applyAlignment="1" applyProtection="1">
      <alignment horizontal="center"/>
      <protection/>
    </xf>
    <xf numFmtId="9" fontId="4" fillId="6" borderId="15" xfId="65" applyNumberFormat="1" applyFont="1" applyFill="1" applyBorder="1" applyAlignment="1" applyProtection="1">
      <alignment horizontal="center"/>
      <protection/>
    </xf>
    <xf numFmtId="9" fontId="3" fillId="15" borderId="10" xfId="65" applyNumberFormat="1" applyFont="1" applyFill="1" applyBorder="1" applyAlignment="1" applyProtection="1">
      <alignment horizontal="center"/>
      <protection/>
    </xf>
    <xf numFmtId="9" fontId="3" fillId="6" borderId="15" xfId="65" applyNumberFormat="1" applyFont="1" applyFill="1" applyBorder="1" applyAlignment="1">
      <alignment/>
    </xf>
    <xf numFmtId="0" fontId="4" fillId="0" borderId="10" xfId="60" applyFont="1" applyFill="1" applyBorder="1">
      <alignment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DATE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3" xfId="61"/>
    <cellStyle name="Note" xfId="62"/>
    <cellStyle name="Output" xfId="63"/>
    <cellStyle name="Percent" xfId="64"/>
    <cellStyle name="Percent 2" xfId="65"/>
    <cellStyle name="Title" xfId="66"/>
    <cellStyle name="Total" xfId="67"/>
    <cellStyle name="Warning Text" xfId="68"/>
  </cellStyles>
  <dxfs count="2">
    <dxf>
      <font>
        <b/>
        <i val="0"/>
        <color rgb="FFFF0000"/>
      </font>
    </dxf>
    <dxf>
      <font>
        <b/>
        <i val="0"/>
        <color theme="9" tint="-0.4999699890613556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mar\St.%20Teresa%20of%20Avila\Finance%20Council\2010%20Budget\Budget_2010_Worksheet%20v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mar\St.%20Teresa%20of%20Avila\Finance%20Council\Finance%20Council%20Binder\FY2011%20Budget\St.%20Teresa%20of%20Avila%20-%20FY2011%20Budge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mar\St.%20Teresa%20of%20Avila\Finance%20Council\Finance%20Council%20Binder\FY2009%20Budget\St.%20Teresa%20of%20Avila%20-%20FY2009%20Annual%20Repor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mar\St.%20Teresa%20of%20Avila\Finance%20Council\Finance%20Council%20Binder\FY2011%20Budget\St.%20Teresa%20of%20Avila%20-%20FY2011%20Budget%20-%20Summary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mar\AppData\Local\Microsoft\Windows\Temporary%20Internet%20Files\Content.Outlook\AD84MNVA\Finance%20Report%20Workbook%206%2030%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9 Budget"/>
      <sheetName val="Budget (Revised)"/>
      <sheetName val="Budget Detail"/>
    </sheetNames>
    <sheetDataSet>
      <sheetData sheetId="0">
        <row r="1">
          <cell r="D1" t="str">
            <v>Jul 08</v>
          </cell>
          <cell r="E1" t="str">
            <v>Aug 08</v>
          </cell>
          <cell r="F1" t="str">
            <v>Sep 08</v>
          </cell>
          <cell r="G1" t="str">
            <v>Oct 08</v>
          </cell>
          <cell r="H1" t="str">
            <v>Nov 08</v>
          </cell>
          <cell r="I1" t="str">
            <v>Dec 08</v>
          </cell>
          <cell r="J1" t="str">
            <v>Jan 09</v>
          </cell>
          <cell r="K1" t="str">
            <v>Feb 09</v>
          </cell>
          <cell r="L1" t="str">
            <v>Mar 09</v>
          </cell>
          <cell r="M1" t="str">
            <v>Apr 09</v>
          </cell>
          <cell r="N1" t="str">
            <v>May 09</v>
          </cell>
          <cell r="O1" t="str">
            <v>Jun 09</v>
          </cell>
          <cell r="P1" t="str">
            <v>Jul '08 - Jun 09</v>
          </cell>
        </row>
        <row r="2">
          <cell r="A2" t="str">
            <v>Ordinary Income/Expense</v>
          </cell>
        </row>
        <row r="3">
          <cell r="A3" t="str">
            <v>Income</v>
          </cell>
        </row>
        <row r="4">
          <cell r="A4">
            <v>3000</v>
          </cell>
          <cell r="B4" t="str">
            <v> SUNDAY AND HOLY DAY COLLECTIONS</v>
          </cell>
          <cell r="D4">
            <v>30800</v>
          </cell>
          <cell r="E4">
            <v>39100</v>
          </cell>
          <cell r="F4">
            <v>31600</v>
          </cell>
          <cell r="G4">
            <v>31600</v>
          </cell>
          <cell r="H4">
            <v>41200</v>
          </cell>
          <cell r="I4">
            <v>28925</v>
          </cell>
          <cell r="J4">
            <v>33725</v>
          </cell>
          <cell r="K4">
            <v>33600</v>
          </cell>
          <cell r="L4">
            <v>41000</v>
          </cell>
          <cell r="M4">
            <v>32400</v>
          </cell>
          <cell r="N4">
            <v>40050</v>
          </cell>
          <cell r="O4">
            <v>31600</v>
          </cell>
          <cell r="P4">
            <v>415600</v>
          </cell>
        </row>
        <row r="5">
          <cell r="A5">
            <v>3020</v>
          </cell>
          <cell r="B5" t="str">
            <v> CHRISTMAS COLLECTION</v>
          </cell>
          <cell r="I5">
            <v>28000</v>
          </cell>
          <cell r="J5">
            <v>8000</v>
          </cell>
          <cell r="P5">
            <v>36000</v>
          </cell>
        </row>
        <row r="6">
          <cell r="A6">
            <v>3030</v>
          </cell>
          <cell r="B6" t="str">
            <v> EASTER COLLECTION</v>
          </cell>
          <cell r="L6">
            <v>4000</v>
          </cell>
          <cell r="M6">
            <v>22000</v>
          </cell>
          <cell r="P6">
            <v>26000</v>
          </cell>
        </row>
        <row r="7">
          <cell r="A7">
            <v>3040</v>
          </cell>
          <cell r="B7" t="str">
            <v> OTHER COLLECTIONS</v>
          </cell>
          <cell r="D7">
            <v>790</v>
          </cell>
          <cell r="E7">
            <v>790</v>
          </cell>
          <cell r="F7">
            <v>790</v>
          </cell>
          <cell r="G7">
            <v>790</v>
          </cell>
          <cell r="H7">
            <v>790</v>
          </cell>
          <cell r="I7">
            <v>900</v>
          </cell>
          <cell r="J7">
            <v>790</v>
          </cell>
          <cell r="K7">
            <v>790</v>
          </cell>
          <cell r="L7">
            <v>790</v>
          </cell>
          <cell r="M7">
            <v>1000</v>
          </cell>
          <cell r="N7">
            <v>790</v>
          </cell>
          <cell r="O7">
            <v>790</v>
          </cell>
          <cell r="P7">
            <v>9800</v>
          </cell>
        </row>
        <row r="8">
          <cell r="A8">
            <v>3100</v>
          </cell>
          <cell r="B8" t="str">
            <v> TUITION</v>
          </cell>
          <cell r="E8">
            <v>900</v>
          </cell>
          <cell r="F8">
            <v>3000</v>
          </cell>
          <cell r="G8">
            <v>8200</v>
          </cell>
          <cell r="H8">
            <v>4300</v>
          </cell>
          <cell r="I8">
            <v>825</v>
          </cell>
          <cell r="J8">
            <v>350</v>
          </cell>
          <cell r="P8">
            <v>17575</v>
          </cell>
        </row>
        <row r="9">
          <cell r="A9">
            <v>3110</v>
          </cell>
          <cell r="B9" t="str">
            <v> FEES</v>
          </cell>
          <cell r="F9">
            <v>300</v>
          </cell>
          <cell r="G9">
            <v>700</v>
          </cell>
          <cell r="H9">
            <v>100</v>
          </cell>
          <cell r="P9">
            <v>1100</v>
          </cell>
        </row>
        <row r="10">
          <cell r="A10">
            <v>3350</v>
          </cell>
          <cell r="B10" t="str">
            <v> LEASE AND/OR RENTAL INCOME</v>
          </cell>
          <cell r="D10">
            <v>700</v>
          </cell>
          <cell r="E10">
            <v>800</v>
          </cell>
          <cell r="F10">
            <v>1050</v>
          </cell>
          <cell r="G10">
            <v>1050</v>
          </cell>
          <cell r="H10">
            <v>1050</v>
          </cell>
          <cell r="I10">
            <v>1050</v>
          </cell>
          <cell r="J10">
            <v>1050</v>
          </cell>
          <cell r="K10">
            <v>1050</v>
          </cell>
          <cell r="L10">
            <v>1050</v>
          </cell>
          <cell r="M10">
            <v>1050</v>
          </cell>
          <cell r="N10">
            <v>1050</v>
          </cell>
          <cell r="O10">
            <v>1050</v>
          </cell>
          <cell r="P10">
            <v>12000</v>
          </cell>
        </row>
        <row r="11">
          <cell r="A11">
            <v>3450</v>
          </cell>
          <cell r="B11" t="str">
            <v> FUND RAISING NET INCOME</v>
          </cell>
          <cell r="D11">
            <v>3100</v>
          </cell>
          <cell r="E11">
            <v>16025</v>
          </cell>
          <cell r="F11">
            <v>30750</v>
          </cell>
          <cell r="G11">
            <v>11325</v>
          </cell>
          <cell r="H11">
            <v>500</v>
          </cell>
          <cell r="I11">
            <v>1800</v>
          </cell>
          <cell r="L11">
            <v>1300</v>
          </cell>
          <cell r="O11">
            <v>100</v>
          </cell>
          <cell r="P11">
            <v>64900</v>
          </cell>
        </row>
        <row r="12">
          <cell r="A12">
            <v>3500</v>
          </cell>
          <cell r="B12" t="str">
            <v> INTEREST &amp; INVESTMENT INCOME</v>
          </cell>
          <cell r="D12">
            <v>24</v>
          </cell>
          <cell r="E12">
            <v>26</v>
          </cell>
          <cell r="F12">
            <v>30</v>
          </cell>
          <cell r="G12">
            <v>31</v>
          </cell>
          <cell r="H12">
            <v>24</v>
          </cell>
          <cell r="I12">
            <v>26</v>
          </cell>
          <cell r="J12">
            <v>27</v>
          </cell>
          <cell r="K12">
            <v>24</v>
          </cell>
          <cell r="L12">
            <v>24</v>
          </cell>
          <cell r="M12">
            <v>26</v>
          </cell>
          <cell r="N12">
            <v>24</v>
          </cell>
          <cell r="O12">
            <v>24</v>
          </cell>
          <cell r="P12">
            <v>310</v>
          </cell>
        </row>
        <row r="13">
          <cell r="A13">
            <v>3700</v>
          </cell>
          <cell r="B13" t="str">
            <v> MISCELLANEOUS INCOME</v>
          </cell>
          <cell r="D13">
            <v>1570</v>
          </cell>
          <cell r="E13">
            <v>1570</v>
          </cell>
          <cell r="F13">
            <v>1570</v>
          </cell>
          <cell r="G13">
            <v>1470</v>
          </cell>
          <cell r="H13">
            <v>1450</v>
          </cell>
          <cell r="I13">
            <v>1450</v>
          </cell>
          <cell r="J13">
            <v>1370</v>
          </cell>
          <cell r="K13">
            <v>1470</v>
          </cell>
          <cell r="L13">
            <v>1470</v>
          </cell>
          <cell r="M13">
            <v>1420</v>
          </cell>
          <cell r="N13">
            <v>1570</v>
          </cell>
          <cell r="O13">
            <v>1570</v>
          </cell>
          <cell r="P13">
            <v>17950</v>
          </cell>
        </row>
        <row r="14">
          <cell r="A14" t="str">
            <v>Total Income</v>
          </cell>
          <cell r="D14">
            <v>36984</v>
          </cell>
          <cell r="E14">
            <v>59211</v>
          </cell>
          <cell r="F14">
            <v>69090</v>
          </cell>
          <cell r="G14">
            <v>55166</v>
          </cell>
          <cell r="H14">
            <v>49414</v>
          </cell>
          <cell r="I14">
            <v>62976</v>
          </cell>
          <cell r="J14">
            <v>45312</v>
          </cell>
          <cell r="K14">
            <v>36934</v>
          </cell>
          <cell r="L14">
            <v>49634</v>
          </cell>
          <cell r="M14">
            <v>57896</v>
          </cell>
          <cell r="N14">
            <v>43484</v>
          </cell>
          <cell r="O14">
            <v>35134</v>
          </cell>
          <cell r="P14">
            <v>601235</v>
          </cell>
        </row>
        <row r="15">
          <cell r="A15" t="str">
            <v>Expense</v>
          </cell>
        </row>
        <row r="16">
          <cell r="A16">
            <v>4010</v>
          </cell>
          <cell r="B16" t="str">
            <v> SALARIES</v>
          </cell>
          <cell r="D16">
            <v>24421</v>
          </cell>
          <cell r="E16">
            <v>24421</v>
          </cell>
          <cell r="F16">
            <v>24421</v>
          </cell>
          <cell r="G16">
            <v>24421</v>
          </cell>
          <cell r="H16">
            <v>24821</v>
          </cell>
          <cell r="I16">
            <v>26421</v>
          </cell>
          <cell r="J16">
            <v>25161</v>
          </cell>
          <cell r="K16">
            <v>24421</v>
          </cell>
          <cell r="L16">
            <v>24421</v>
          </cell>
          <cell r="M16">
            <v>24921</v>
          </cell>
          <cell r="N16">
            <v>24421</v>
          </cell>
          <cell r="O16">
            <v>24431</v>
          </cell>
          <cell r="P16">
            <v>296702</v>
          </cell>
        </row>
        <row r="17">
          <cell r="A17">
            <v>4030</v>
          </cell>
          <cell r="B17" t="str">
            <v> HEALTH INSURANCE-EMPLOYER PAID</v>
          </cell>
          <cell r="D17">
            <v>3291</v>
          </cell>
          <cell r="E17">
            <v>3291</v>
          </cell>
          <cell r="F17">
            <v>3291</v>
          </cell>
          <cell r="G17">
            <v>3291</v>
          </cell>
          <cell r="H17">
            <v>3291</v>
          </cell>
          <cell r="I17">
            <v>3291</v>
          </cell>
          <cell r="J17">
            <v>3291</v>
          </cell>
          <cell r="K17">
            <v>3291</v>
          </cell>
          <cell r="L17">
            <v>3291</v>
          </cell>
          <cell r="M17">
            <v>3291</v>
          </cell>
          <cell r="N17">
            <v>3291</v>
          </cell>
          <cell r="O17">
            <v>3297</v>
          </cell>
          <cell r="P17">
            <v>39498</v>
          </cell>
        </row>
        <row r="18">
          <cell r="A18">
            <v>4040</v>
          </cell>
          <cell r="B18" t="str">
            <v> EMPLOYER FICA</v>
          </cell>
          <cell r="D18">
            <v>1591</v>
          </cell>
          <cell r="E18">
            <v>1591</v>
          </cell>
          <cell r="F18">
            <v>1591</v>
          </cell>
          <cell r="G18">
            <v>1591</v>
          </cell>
          <cell r="H18">
            <v>1591</v>
          </cell>
          <cell r="I18">
            <v>1591</v>
          </cell>
          <cell r="J18">
            <v>1591</v>
          </cell>
          <cell r="K18">
            <v>1591</v>
          </cell>
          <cell r="L18">
            <v>1591</v>
          </cell>
          <cell r="M18">
            <v>1591</v>
          </cell>
          <cell r="N18">
            <v>1591</v>
          </cell>
          <cell r="O18">
            <v>1590</v>
          </cell>
          <cell r="P18">
            <v>19091</v>
          </cell>
        </row>
        <row r="19">
          <cell r="A19">
            <v>4050</v>
          </cell>
          <cell r="B19" t="str">
            <v> FRINGE BENEFITS</v>
          </cell>
          <cell r="D19">
            <v>1167</v>
          </cell>
          <cell r="E19">
            <v>1167</v>
          </cell>
          <cell r="F19">
            <v>1167</v>
          </cell>
          <cell r="G19">
            <v>1167</v>
          </cell>
          <cell r="H19">
            <v>1167</v>
          </cell>
          <cell r="I19">
            <v>1167</v>
          </cell>
          <cell r="J19">
            <v>1167</v>
          </cell>
          <cell r="K19">
            <v>1167</v>
          </cell>
          <cell r="L19">
            <v>1167</v>
          </cell>
          <cell r="M19">
            <v>1167</v>
          </cell>
          <cell r="N19">
            <v>1167</v>
          </cell>
          <cell r="O19">
            <v>1165</v>
          </cell>
          <cell r="P19">
            <v>14002</v>
          </cell>
        </row>
        <row r="20">
          <cell r="A20">
            <v>4060</v>
          </cell>
          <cell r="B20" t="str">
            <v> PROF. GROWTH/MINIST./OTHER</v>
          </cell>
          <cell r="D20">
            <v>483</v>
          </cell>
          <cell r="E20">
            <v>483</v>
          </cell>
          <cell r="F20">
            <v>483</v>
          </cell>
          <cell r="G20">
            <v>483</v>
          </cell>
          <cell r="H20">
            <v>483</v>
          </cell>
          <cell r="I20">
            <v>483</v>
          </cell>
          <cell r="J20">
            <v>483</v>
          </cell>
          <cell r="K20">
            <v>483</v>
          </cell>
          <cell r="L20">
            <v>483</v>
          </cell>
          <cell r="M20">
            <v>483</v>
          </cell>
          <cell r="N20">
            <v>483</v>
          </cell>
          <cell r="O20">
            <v>487</v>
          </cell>
          <cell r="P20">
            <v>5800</v>
          </cell>
        </row>
        <row r="21">
          <cell r="A21">
            <v>4100</v>
          </cell>
          <cell r="B21" t="str">
            <v> BOOKS &amp; SUPPLIES,NON-LITURGICAL</v>
          </cell>
          <cell r="D21">
            <v>195</v>
          </cell>
          <cell r="E21">
            <v>295</v>
          </cell>
          <cell r="F21">
            <v>895</v>
          </cell>
          <cell r="G21">
            <v>695</v>
          </cell>
          <cell r="H21">
            <v>795</v>
          </cell>
          <cell r="I21">
            <v>205</v>
          </cell>
          <cell r="J21">
            <v>395</v>
          </cell>
          <cell r="K21">
            <v>610</v>
          </cell>
          <cell r="L21">
            <v>195</v>
          </cell>
          <cell r="M21">
            <v>195</v>
          </cell>
          <cell r="N21">
            <v>195</v>
          </cell>
          <cell r="O21">
            <v>195</v>
          </cell>
          <cell r="P21">
            <v>4865</v>
          </cell>
        </row>
        <row r="22">
          <cell r="A22">
            <v>4150</v>
          </cell>
          <cell r="B22" t="str">
            <v> ADMINISTRATIVE EXPENSES</v>
          </cell>
          <cell r="D22">
            <v>1281</v>
          </cell>
          <cell r="E22">
            <v>1281</v>
          </cell>
          <cell r="F22">
            <v>1283</v>
          </cell>
          <cell r="G22">
            <v>1285</v>
          </cell>
          <cell r="H22">
            <v>1666</v>
          </cell>
          <cell r="I22">
            <v>1294</v>
          </cell>
          <cell r="J22">
            <v>1286</v>
          </cell>
          <cell r="K22">
            <v>1286</v>
          </cell>
          <cell r="L22">
            <v>1561</v>
          </cell>
          <cell r="M22">
            <v>1381</v>
          </cell>
          <cell r="N22">
            <v>1281</v>
          </cell>
          <cell r="O22">
            <v>1265</v>
          </cell>
          <cell r="P22">
            <v>16150</v>
          </cell>
        </row>
        <row r="23">
          <cell r="A23">
            <v>4200</v>
          </cell>
          <cell r="B23" t="str">
            <v> TRANSPORTATION</v>
          </cell>
          <cell r="D23">
            <v>80</v>
          </cell>
          <cell r="E23">
            <v>80</v>
          </cell>
          <cell r="F23">
            <v>80</v>
          </cell>
          <cell r="G23">
            <v>90</v>
          </cell>
          <cell r="H23">
            <v>90</v>
          </cell>
          <cell r="I23">
            <v>90</v>
          </cell>
          <cell r="J23">
            <v>90</v>
          </cell>
          <cell r="K23">
            <v>80</v>
          </cell>
          <cell r="L23">
            <v>80</v>
          </cell>
          <cell r="M23">
            <v>80</v>
          </cell>
          <cell r="N23">
            <v>80</v>
          </cell>
          <cell r="O23">
            <v>80</v>
          </cell>
          <cell r="P23">
            <v>1000</v>
          </cell>
        </row>
        <row r="24">
          <cell r="A24">
            <v>4250</v>
          </cell>
          <cell r="B24" t="str">
            <v> FOOD SERVICE &amp; MEALS</v>
          </cell>
          <cell r="D24">
            <v>850</v>
          </cell>
          <cell r="E24">
            <v>850</v>
          </cell>
          <cell r="F24">
            <v>850</v>
          </cell>
          <cell r="G24">
            <v>850</v>
          </cell>
          <cell r="H24">
            <v>650</v>
          </cell>
          <cell r="I24">
            <v>850</v>
          </cell>
          <cell r="J24">
            <v>850</v>
          </cell>
          <cell r="K24">
            <v>850</v>
          </cell>
          <cell r="L24">
            <v>850</v>
          </cell>
          <cell r="M24">
            <v>850</v>
          </cell>
          <cell r="N24">
            <v>850</v>
          </cell>
          <cell r="O24">
            <v>850</v>
          </cell>
          <cell r="P24">
            <v>10000</v>
          </cell>
        </row>
        <row r="25">
          <cell r="A25">
            <v>4400</v>
          </cell>
          <cell r="B25" t="str">
            <v> TELEPHONE</v>
          </cell>
          <cell r="D25">
            <v>200</v>
          </cell>
          <cell r="E25">
            <v>200</v>
          </cell>
          <cell r="F25">
            <v>200</v>
          </cell>
          <cell r="G25">
            <v>200</v>
          </cell>
          <cell r="H25">
            <v>200</v>
          </cell>
          <cell r="I25">
            <v>200</v>
          </cell>
          <cell r="J25">
            <v>200</v>
          </cell>
          <cell r="K25">
            <v>200</v>
          </cell>
          <cell r="L25">
            <v>200</v>
          </cell>
          <cell r="M25">
            <v>200</v>
          </cell>
          <cell r="N25">
            <v>200</v>
          </cell>
          <cell r="O25">
            <v>200</v>
          </cell>
          <cell r="P25">
            <v>2400</v>
          </cell>
        </row>
        <row r="26">
          <cell r="A26">
            <v>4410</v>
          </cell>
          <cell r="B26" t="str">
            <v> HEATING FUEL</v>
          </cell>
          <cell r="D26">
            <v>1000</v>
          </cell>
          <cell r="E26">
            <v>1000</v>
          </cell>
          <cell r="F26">
            <v>1100</v>
          </cell>
          <cell r="G26">
            <v>1200</v>
          </cell>
          <cell r="H26">
            <v>1500</v>
          </cell>
          <cell r="I26">
            <v>1700</v>
          </cell>
          <cell r="J26">
            <v>2200</v>
          </cell>
          <cell r="K26">
            <v>1700</v>
          </cell>
          <cell r="L26">
            <v>1600</v>
          </cell>
          <cell r="M26">
            <v>1500</v>
          </cell>
          <cell r="N26">
            <v>1000</v>
          </cell>
          <cell r="O26">
            <v>1000</v>
          </cell>
          <cell r="P26">
            <v>16500</v>
          </cell>
        </row>
        <row r="27">
          <cell r="A27">
            <v>4420</v>
          </cell>
          <cell r="B27" t="str">
            <v> ELECTRICITY</v>
          </cell>
          <cell r="D27">
            <v>900</v>
          </cell>
          <cell r="E27">
            <v>1000</v>
          </cell>
          <cell r="F27">
            <v>1100</v>
          </cell>
          <cell r="G27">
            <v>1100</v>
          </cell>
          <cell r="H27">
            <v>1400</v>
          </cell>
          <cell r="I27">
            <v>1550</v>
          </cell>
          <cell r="J27">
            <v>1550</v>
          </cell>
          <cell r="K27">
            <v>1400</v>
          </cell>
          <cell r="L27">
            <v>1400</v>
          </cell>
          <cell r="M27">
            <v>1200</v>
          </cell>
          <cell r="N27">
            <v>1000</v>
          </cell>
          <cell r="O27">
            <v>900</v>
          </cell>
          <cell r="P27">
            <v>14500</v>
          </cell>
        </row>
        <row r="28">
          <cell r="A28">
            <v>4430</v>
          </cell>
          <cell r="B28" t="str">
            <v> OTHER UTILITIES</v>
          </cell>
          <cell r="D28">
            <v>183</v>
          </cell>
          <cell r="E28">
            <v>183</v>
          </cell>
          <cell r="F28">
            <v>183</v>
          </cell>
          <cell r="G28">
            <v>183</v>
          </cell>
          <cell r="H28">
            <v>183</v>
          </cell>
          <cell r="I28">
            <v>187</v>
          </cell>
          <cell r="J28">
            <v>183</v>
          </cell>
          <cell r="K28">
            <v>183</v>
          </cell>
          <cell r="L28">
            <v>183</v>
          </cell>
          <cell r="M28">
            <v>183</v>
          </cell>
          <cell r="N28">
            <v>183</v>
          </cell>
          <cell r="O28">
            <v>183</v>
          </cell>
          <cell r="P28">
            <v>2200</v>
          </cell>
        </row>
        <row r="29">
          <cell r="A29">
            <v>4450</v>
          </cell>
          <cell r="B29" t="str">
            <v> MAINTENANCE &amp; BUILDING REPAIRS</v>
          </cell>
          <cell r="D29">
            <v>2056</v>
          </cell>
          <cell r="E29">
            <v>2057</v>
          </cell>
          <cell r="F29">
            <v>2157</v>
          </cell>
          <cell r="G29">
            <v>2107</v>
          </cell>
          <cell r="H29">
            <v>2257</v>
          </cell>
          <cell r="I29">
            <v>2267</v>
          </cell>
          <cell r="J29">
            <v>2367</v>
          </cell>
          <cell r="K29">
            <v>2357</v>
          </cell>
          <cell r="L29">
            <v>2307</v>
          </cell>
          <cell r="M29">
            <v>2306</v>
          </cell>
          <cell r="N29">
            <v>2106</v>
          </cell>
          <cell r="O29">
            <v>2056</v>
          </cell>
          <cell r="P29">
            <v>26400</v>
          </cell>
        </row>
        <row r="30">
          <cell r="A30">
            <v>4600</v>
          </cell>
          <cell r="B30" t="str">
            <v> INTEREST EXPENSE</v>
          </cell>
          <cell r="D30">
            <v>410</v>
          </cell>
          <cell r="E30">
            <v>400</v>
          </cell>
          <cell r="F30">
            <v>390</v>
          </cell>
          <cell r="G30">
            <v>380</v>
          </cell>
          <cell r="H30">
            <v>370</v>
          </cell>
          <cell r="I30">
            <v>360</v>
          </cell>
          <cell r="J30">
            <v>350</v>
          </cell>
          <cell r="K30">
            <v>340</v>
          </cell>
          <cell r="L30">
            <v>330</v>
          </cell>
          <cell r="M30">
            <v>320</v>
          </cell>
          <cell r="N30">
            <v>310</v>
          </cell>
          <cell r="O30">
            <v>240</v>
          </cell>
          <cell r="P30">
            <v>4200</v>
          </cell>
        </row>
        <row r="31">
          <cell r="A31">
            <v>4650</v>
          </cell>
          <cell r="B31" t="str">
            <v> ALTAR &amp; LITURGICAL SUPPLIES</v>
          </cell>
          <cell r="D31">
            <v>785</v>
          </cell>
          <cell r="E31">
            <v>789</v>
          </cell>
          <cell r="F31">
            <v>795</v>
          </cell>
          <cell r="G31">
            <v>799</v>
          </cell>
          <cell r="H31">
            <v>1010</v>
          </cell>
          <cell r="I31">
            <v>1174</v>
          </cell>
          <cell r="J31">
            <v>880</v>
          </cell>
          <cell r="K31">
            <v>804</v>
          </cell>
          <cell r="L31">
            <v>805</v>
          </cell>
          <cell r="M31">
            <v>1069</v>
          </cell>
          <cell r="N31">
            <v>805</v>
          </cell>
          <cell r="O31">
            <v>795</v>
          </cell>
          <cell r="P31">
            <v>10510</v>
          </cell>
        </row>
        <row r="32">
          <cell r="A32">
            <v>4700</v>
          </cell>
          <cell r="B32" t="str">
            <v> FURNISHINGS &amp; EQUIPMENT</v>
          </cell>
          <cell r="D32">
            <v>80</v>
          </cell>
          <cell r="E32">
            <v>880</v>
          </cell>
          <cell r="F32">
            <v>530</v>
          </cell>
          <cell r="G32">
            <v>480</v>
          </cell>
          <cell r="H32">
            <v>480</v>
          </cell>
          <cell r="I32">
            <v>520</v>
          </cell>
          <cell r="J32">
            <v>130</v>
          </cell>
          <cell r="K32">
            <v>80</v>
          </cell>
          <cell r="L32">
            <v>80</v>
          </cell>
          <cell r="M32">
            <v>80</v>
          </cell>
          <cell r="N32">
            <v>80</v>
          </cell>
          <cell r="O32">
            <v>80</v>
          </cell>
          <cell r="P32">
            <v>3500</v>
          </cell>
        </row>
        <row r="33">
          <cell r="A33">
            <v>4750</v>
          </cell>
          <cell r="B33" t="str">
            <v> ARCHDIOCESAN ASSESSMENT</v>
          </cell>
          <cell r="D33">
            <v>4347</v>
          </cell>
          <cell r="E33">
            <v>4347</v>
          </cell>
          <cell r="F33">
            <v>4347</v>
          </cell>
          <cell r="G33">
            <v>4347</v>
          </cell>
          <cell r="H33">
            <v>4347</v>
          </cell>
          <cell r="I33">
            <v>4347</v>
          </cell>
          <cell r="J33">
            <v>4347</v>
          </cell>
          <cell r="K33">
            <v>4347</v>
          </cell>
          <cell r="L33">
            <v>4347</v>
          </cell>
          <cell r="M33">
            <v>4347</v>
          </cell>
          <cell r="N33">
            <v>4347</v>
          </cell>
          <cell r="O33">
            <v>4354</v>
          </cell>
          <cell r="P33">
            <v>52171</v>
          </cell>
        </row>
        <row r="34">
          <cell r="A34">
            <v>4760</v>
          </cell>
          <cell r="B34" t="str">
            <v> PRMAA ASSESSMENT</v>
          </cell>
          <cell r="D34">
            <v>1524</v>
          </cell>
          <cell r="E34">
            <v>1524</v>
          </cell>
          <cell r="F34">
            <v>1524</v>
          </cell>
          <cell r="G34">
            <v>1524</v>
          </cell>
          <cell r="H34">
            <v>1524</v>
          </cell>
          <cell r="I34">
            <v>1524</v>
          </cell>
          <cell r="J34">
            <v>1524</v>
          </cell>
          <cell r="K34">
            <v>1524</v>
          </cell>
          <cell r="L34">
            <v>1524</v>
          </cell>
          <cell r="M34">
            <v>1524</v>
          </cell>
          <cell r="N34">
            <v>1524</v>
          </cell>
          <cell r="O34">
            <v>1518</v>
          </cell>
          <cell r="P34">
            <v>18282</v>
          </cell>
        </row>
        <row r="35">
          <cell r="A35">
            <v>4780</v>
          </cell>
          <cell r="B35" t="str">
            <v> PROPERTY/CASUALTY INSURANCE</v>
          </cell>
          <cell r="D35">
            <v>1597</v>
          </cell>
          <cell r="E35">
            <v>1597</v>
          </cell>
          <cell r="F35">
            <v>1597</v>
          </cell>
          <cell r="G35">
            <v>1597</v>
          </cell>
          <cell r="H35">
            <v>1597</v>
          </cell>
          <cell r="I35">
            <v>1597</v>
          </cell>
          <cell r="J35">
            <v>1597</v>
          </cell>
          <cell r="K35">
            <v>1597</v>
          </cell>
          <cell r="L35">
            <v>1597</v>
          </cell>
          <cell r="M35">
            <v>1597</v>
          </cell>
          <cell r="N35">
            <v>1599</v>
          </cell>
          <cell r="O35">
            <v>1599</v>
          </cell>
          <cell r="P35">
            <v>19168</v>
          </cell>
        </row>
        <row r="36">
          <cell r="A36">
            <v>4790</v>
          </cell>
          <cell r="B36" t="str">
            <v> AUTO INSUR-PRIEST OWNED VEHICLE</v>
          </cell>
          <cell r="G36">
            <v>1050</v>
          </cell>
          <cell r="P36">
            <v>1050</v>
          </cell>
        </row>
        <row r="37">
          <cell r="A37">
            <v>4800</v>
          </cell>
          <cell r="B37" t="str">
            <v> MISCELLANEOUS</v>
          </cell>
          <cell r="D37">
            <v>615</v>
          </cell>
          <cell r="E37">
            <v>1115</v>
          </cell>
          <cell r="F37">
            <v>1865</v>
          </cell>
          <cell r="G37">
            <v>2265</v>
          </cell>
          <cell r="H37">
            <v>1915</v>
          </cell>
          <cell r="I37">
            <v>2375</v>
          </cell>
          <cell r="J37">
            <v>2525</v>
          </cell>
          <cell r="K37">
            <v>2165</v>
          </cell>
          <cell r="L37">
            <v>1965</v>
          </cell>
          <cell r="M37">
            <v>2515</v>
          </cell>
          <cell r="N37">
            <v>1865</v>
          </cell>
          <cell r="O37">
            <v>1065</v>
          </cell>
          <cell r="P37">
            <v>22250</v>
          </cell>
        </row>
        <row r="38">
          <cell r="A38" t="str">
            <v>Total Expense</v>
          </cell>
          <cell r="D38">
            <v>47056</v>
          </cell>
          <cell r="E38">
            <v>48551</v>
          </cell>
          <cell r="F38">
            <v>49849</v>
          </cell>
          <cell r="G38">
            <v>51105</v>
          </cell>
          <cell r="H38">
            <v>51337</v>
          </cell>
          <cell r="I38">
            <v>53193</v>
          </cell>
          <cell r="J38">
            <v>52167</v>
          </cell>
          <cell r="K38">
            <v>50476</v>
          </cell>
          <cell r="L38">
            <v>49977</v>
          </cell>
          <cell r="M38">
            <v>50800</v>
          </cell>
          <cell r="N38">
            <v>48378</v>
          </cell>
          <cell r="O38">
            <v>47350</v>
          </cell>
          <cell r="P38">
            <v>600239</v>
          </cell>
        </row>
        <row r="39">
          <cell r="A39" t="str">
            <v>Net Ordinary Income</v>
          </cell>
          <cell r="D39">
            <v>-10072</v>
          </cell>
          <cell r="E39">
            <v>10660</v>
          </cell>
          <cell r="F39">
            <v>19241</v>
          </cell>
          <cell r="G39">
            <v>4061</v>
          </cell>
          <cell r="H39">
            <v>-1923</v>
          </cell>
          <cell r="I39">
            <v>9783</v>
          </cell>
          <cell r="J39">
            <v>-6855</v>
          </cell>
          <cell r="K39">
            <v>-13542</v>
          </cell>
          <cell r="L39">
            <v>-343</v>
          </cell>
          <cell r="M39">
            <v>7096</v>
          </cell>
          <cell r="N39">
            <v>-4894</v>
          </cell>
          <cell r="O39">
            <v>-12216</v>
          </cell>
          <cell r="P39">
            <v>996</v>
          </cell>
        </row>
        <row r="40">
          <cell r="A40" t="str">
            <v>Other Income/Expense</v>
          </cell>
        </row>
        <row r="41">
          <cell r="A41" t="str">
            <v>Other Income</v>
          </cell>
        </row>
        <row r="42">
          <cell r="A42">
            <v>5010</v>
          </cell>
          <cell r="B42" t="str">
            <v> SHARING COLLECTIONS OTH PARISH</v>
          </cell>
          <cell r="D42">
            <v>500</v>
          </cell>
          <cell r="E42">
            <v>500</v>
          </cell>
          <cell r="F42">
            <v>500</v>
          </cell>
          <cell r="G42">
            <v>500</v>
          </cell>
          <cell r="H42">
            <v>500</v>
          </cell>
          <cell r="I42">
            <v>500</v>
          </cell>
          <cell r="J42">
            <v>500</v>
          </cell>
          <cell r="K42">
            <v>500</v>
          </cell>
          <cell r="L42">
            <v>500</v>
          </cell>
          <cell r="M42">
            <v>500</v>
          </cell>
          <cell r="N42">
            <v>500</v>
          </cell>
          <cell r="O42">
            <v>500</v>
          </cell>
          <cell r="P42">
            <v>6000</v>
          </cell>
        </row>
        <row r="43">
          <cell r="A43">
            <v>5030</v>
          </cell>
          <cell r="B43" t="str">
            <v> ARCH REQUIRED COLLECTIONS</v>
          </cell>
          <cell r="D43">
            <v>708</v>
          </cell>
          <cell r="E43">
            <v>708</v>
          </cell>
          <cell r="F43">
            <v>708</v>
          </cell>
          <cell r="G43">
            <v>708</v>
          </cell>
          <cell r="H43">
            <v>712</v>
          </cell>
          <cell r="I43">
            <v>708</v>
          </cell>
          <cell r="J43">
            <v>708</v>
          </cell>
          <cell r="K43">
            <v>708</v>
          </cell>
          <cell r="L43">
            <v>708</v>
          </cell>
          <cell r="M43">
            <v>708</v>
          </cell>
          <cell r="N43">
            <v>708</v>
          </cell>
          <cell r="O43">
            <v>708</v>
          </cell>
          <cell r="P43">
            <v>8500</v>
          </cell>
        </row>
        <row r="44">
          <cell r="A44">
            <v>5050</v>
          </cell>
          <cell r="B44" t="str">
            <v> ESTATES, BEQUESTS &amp; MEMORIALS</v>
          </cell>
          <cell r="H44">
            <v>500</v>
          </cell>
          <cell r="P44">
            <v>500</v>
          </cell>
        </row>
        <row r="45">
          <cell r="A45">
            <v>5060</v>
          </cell>
          <cell r="B45" t="str">
            <v> OTHER EXTRAORDINARY INCOME</v>
          </cell>
          <cell r="D45">
            <v>625</v>
          </cell>
          <cell r="E45">
            <v>625</v>
          </cell>
          <cell r="F45">
            <v>625</v>
          </cell>
          <cell r="G45">
            <v>625</v>
          </cell>
          <cell r="H45">
            <v>625</v>
          </cell>
          <cell r="I45">
            <v>625</v>
          </cell>
          <cell r="J45">
            <v>625</v>
          </cell>
          <cell r="K45">
            <v>625</v>
          </cell>
          <cell r="L45">
            <v>625</v>
          </cell>
          <cell r="M45">
            <v>625</v>
          </cell>
          <cell r="N45">
            <v>625</v>
          </cell>
          <cell r="O45">
            <v>625</v>
          </cell>
          <cell r="P45">
            <v>7500</v>
          </cell>
        </row>
        <row r="46">
          <cell r="A46">
            <v>5110</v>
          </cell>
          <cell r="B46" t="str">
            <v> FUND COLLECTIONS</v>
          </cell>
          <cell r="D46">
            <v>1663</v>
          </cell>
          <cell r="E46">
            <v>1667</v>
          </cell>
          <cell r="F46">
            <v>1667</v>
          </cell>
          <cell r="G46">
            <v>1667</v>
          </cell>
          <cell r="H46">
            <v>1667</v>
          </cell>
          <cell r="I46">
            <v>1667</v>
          </cell>
          <cell r="J46">
            <v>1667</v>
          </cell>
          <cell r="K46">
            <v>1667</v>
          </cell>
          <cell r="L46">
            <v>1667</v>
          </cell>
          <cell r="M46">
            <v>1667</v>
          </cell>
          <cell r="N46">
            <v>1667</v>
          </cell>
          <cell r="O46">
            <v>1667</v>
          </cell>
          <cell r="P46">
            <v>20000</v>
          </cell>
        </row>
        <row r="47">
          <cell r="A47" t="str">
            <v>Total Other Income</v>
          </cell>
          <cell r="D47">
            <v>3496</v>
          </cell>
          <cell r="E47">
            <v>3500</v>
          </cell>
          <cell r="F47">
            <v>3500</v>
          </cell>
          <cell r="G47">
            <v>3500</v>
          </cell>
          <cell r="H47">
            <v>4004</v>
          </cell>
          <cell r="I47">
            <v>3500</v>
          </cell>
          <cell r="J47">
            <v>3500</v>
          </cell>
          <cell r="K47">
            <v>3500</v>
          </cell>
          <cell r="L47">
            <v>3500</v>
          </cell>
          <cell r="M47">
            <v>3500</v>
          </cell>
          <cell r="N47">
            <v>3500</v>
          </cell>
          <cell r="O47">
            <v>3500</v>
          </cell>
          <cell r="P47">
            <v>42500</v>
          </cell>
        </row>
        <row r="48">
          <cell r="A48" t="str">
            <v>Other Expense</v>
          </cell>
        </row>
        <row r="49">
          <cell r="A49">
            <v>6010</v>
          </cell>
          <cell r="B49" t="str">
            <v> SHARE COLLECT PAY TO OTH PARISH</v>
          </cell>
          <cell r="D49">
            <v>500</v>
          </cell>
          <cell r="E49">
            <v>500</v>
          </cell>
          <cell r="F49">
            <v>500</v>
          </cell>
          <cell r="G49">
            <v>500</v>
          </cell>
          <cell r="H49">
            <v>500</v>
          </cell>
          <cell r="I49">
            <v>500</v>
          </cell>
          <cell r="J49">
            <v>500</v>
          </cell>
          <cell r="K49">
            <v>500</v>
          </cell>
          <cell r="L49">
            <v>500</v>
          </cell>
          <cell r="M49">
            <v>500</v>
          </cell>
          <cell r="N49">
            <v>500</v>
          </cell>
          <cell r="O49">
            <v>500</v>
          </cell>
          <cell r="P49">
            <v>6000</v>
          </cell>
        </row>
        <row r="50">
          <cell r="A50">
            <v>6030</v>
          </cell>
          <cell r="B50" t="str">
            <v> PYMT ARCH REQUIRED COLLECTIONS</v>
          </cell>
          <cell r="D50">
            <v>708</v>
          </cell>
          <cell r="E50">
            <v>708</v>
          </cell>
          <cell r="F50">
            <v>708</v>
          </cell>
          <cell r="G50">
            <v>708</v>
          </cell>
          <cell r="H50">
            <v>708</v>
          </cell>
          <cell r="I50">
            <v>712</v>
          </cell>
          <cell r="J50">
            <v>708</v>
          </cell>
          <cell r="K50">
            <v>708</v>
          </cell>
          <cell r="L50">
            <v>708</v>
          </cell>
          <cell r="M50">
            <v>708</v>
          </cell>
          <cell r="N50">
            <v>708</v>
          </cell>
          <cell r="O50">
            <v>708</v>
          </cell>
          <cell r="P50">
            <v>8500</v>
          </cell>
        </row>
        <row r="51">
          <cell r="A51" t="str">
            <v>Total Other Expense</v>
          </cell>
          <cell r="D51">
            <v>1208</v>
          </cell>
          <cell r="E51">
            <v>1208</v>
          </cell>
          <cell r="F51">
            <v>1208</v>
          </cell>
          <cell r="G51">
            <v>1208</v>
          </cell>
          <cell r="H51">
            <v>1208</v>
          </cell>
          <cell r="I51">
            <v>1212</v>
          </cell>
          <cell r="J51">
            <v>1208</v>
          </cell>
          <cell r="K51">
            <v>1208</v>
          </cell>
          <cell r="L51">
            <v>1208</v>
          </cell>
          <cell r="M51">
            <v>1208</v>
          </cell>
          <cell r="N51">
            <v>1208</v>
          </cell>
          <cell r="O51">
            <v>1208</v>
          </cell>
          <cell r="P51">
            <v>14500</v>
          </cell>
        </row>
        <row r="52">
          <cell r="A52" t="str">
            <v>Net Other Income</v>
          </cell>
          <cell r="D52">
            <v>2288</v>
          </cell>
          <cell r="E52">
            <v>2292</v>
          </cell>
          <cell r="F52">
            <v>2292</v>
          </cell>
          <cell r="G52">
            <v>2292</v>
          </cell>
          <cell r="H52">
            <v>2796</v>
          </cell>
          <cell r="I52">
            <v>2288</v>
          </cell>
          <cell r="J52">
            <v>2292</v>
          </cell>
          <cell r="K52">
            <v>2292</v>
          </cell>
          <cell r="L52">
            <v>2292</v>
          </cell>
          <cell r="M52">
            <v>2292</v>
          </cell>
          <cell r="N52">
            <v>2292</v>
          </cell>
          <cell r="O52">
            <v>2292</v>
          </cell>
          <cell r="P52">
            <v>28000</v>
          </cell>
        </row>
        <row r="53">
          <cell r="A53" t="str">
            <v>Net Income</v>
          </cell>
          <cell r="D53">
            <v>-7784</v>
          </cell>
          <cell r="E53">
            <v>12952</v>
          </cell>
          <cell r="F53">
            <v>21533</v>
          </cell>
          <cell r="G53">
            <v>6353</v>
          </cell>
          <cell r="H53">
            <v>873</v>
          </cell>
          <cell r="I53">
            <v>12071</v>
          </cell>
          <cell r="J53">
            <v>-4563</v>
          </cell>
          <cell r="K53">
            <v>-11250</v>
          </cell>
          <cell r="L53">
            <v>1949</v>
          </cell>
          <cell r="M53">
            <v>9388</v>
          </cell>
          <cell r="N53">
            <v>-2602</v>
          </cell>
          <cell r="O53">
            <v>-9924</v>
          </cell>
          <cell r="P53">
            <v>28996</v>
          </cell>
        </row>
        <row r="55">
          <cell r="A55" t="str">
            <v>Key Data</v>
          </cell>
        </row>
        <row r="56">
          <cell r="A56" t="str">
            <v>Average # of Weekly Attendees</v>
          </cell>
          <cell r="C56" t="str">
            <v>580-600</v>
          </cell>
        </row>
        <row r="57">
          <cell r="A57" t="str">
            <v># of Registered Families</v>
          </cell>
          <cell r="C57">
            <v>921</v>
          </cell>
        </row>
        <row r="58">
          <cell r="A58" t="str">
            <v># of Registered Individuals</v>
          </cell>
          <cell r="C58">
            <v>1754</v>
          </cell>
        </row>
        <row r="59">
          <cell r="A59" t="str">
            <v>Average Family Size</v>
          </cell>
          <cell r="C59">
            <v>1.9044516829533116</v>
          </cell>
        </row>
        <row r="61">
          <cell r="A61" t="str">
            <v>Operating Expense</v>
          </cell>
          <cell r="D61">
            <v>47056</v>
          </cell>
          <cell r="E61">
            <v>48551</v>
          </cell>
          <cell r="F61">
            <v>49849</v>
          </cell>
          <cell r="G61">
            <v>51105</v>
          </cell>
          <cell r="H61">
            <v>51337</v>
          </cell>
          <cell r="I61">
            <v>53193</v>
          </cell>
          <cell r="J61">
            <v>52167</v>
          </cell>
          <cell r="K61">
            <v>50476</v>
          </cell>
          <cell r="L61">
            <v>49977</v>
          </cell>
          <cell r="M61">
            <v>50800</v>
          </cell>
          <cell r="N61">
            <v>48378</v>
          </cell>
          <cell r="O61">
            <v>47350</v>
          </cell>
          <cell r="P61">
            <v>600239</v>
          </cell>
        </row>
        <row r="62">
          <cell r="A62" t="str">
            <v>Other Expense</v>
          </cell>
          <cell r="D62">
            <v>1208</v>
          </cell>
          <cell r="E62">
            <v>1208</v>
          </cell>
          <cell r="F62">
            <v>1208</v>
          </cell>
          <cell r="G62">
            <v>1208</v>
          </cell>
          <cell r="H62">
            <v>1208</v>
          </cell>
          <cell r="I62">
            <v>1212</v>
          </cell>
          <cell r="J62">
            <v>1208</v>
          </cell>
          <cell r="K62">
            <v>1208</v>
          </cell>
          <cell r="L62">
            <v>1208</v>
          </cell>
          <cell r="M62">
            <v>1208</v>
          </cell>
          <cell r="N62">
            <v>1208</v>
          </cell>
          <cell r="O62">
            <v>1208</v>
          </cell>
          <cell r="P62">
            <v>14500</v>
          </cell>
        </row>
        <row r="63">
          <cell r="A63" t="str">
            <v>Total Expense</v>
          </cell>
          <cell r="D63">
            <v>48264</v>
          </cell>
          <cell r="E63">
            <v>49759</v>
          </cell>
          <cell r="F63">
            <v>51057</v>
          </cell>
          <cell r="G63">
            <v>52313</v>
          </cell>
          <cell r="H63">
            <v>52545</v>
          </cell>
          <cell r="I63">
            <v>54405</v>
          </cell>
          <cell r="J63">
            <v>53375</v>
          </cell>
          <cell r="K63">
            <v>51684</v>
          </cell>
          <cell r="L63">
            <v>51185</v>
          </cell>
          <cell r="M63">
            <v>52008</v>
          </cell>
          <cell r="N63">
            <v>49586</v>
          </cell>
          <cell r="O63">
            <v>48558</v>
          </cell>
          <cell r="P63">
            <v>614739</v>
          </cell>
        </row>
        <row r="65">
          <cell r="A65" t="str">
            <v>Individual Cost: 500 Attendee Basis</v>
          </cell>
        </row>
        <row r="66">
          <cell r="A66" t="str">
            <v>Average # of Weekly Attendees</v>
          </cell>
          <cell r="C66">
            <v>500</v>
          </cell>
        </row>
        <row r="67">
          <cell r="A67" t="str">
            <v>Cost Per Attendee</v>
          </cell>
          <cell r="D67">
            <v>96.528</v>
          </cell>
          <cell r="E67">
            <v>99.518</v>
          </cell>
          <cell r="F67">
            <v>102.114</v>
          </cell>
          <cell r="G67">
            <v>104.626</v>
          </cell>
          <cell r="H67">
            <v>105.09</v>
          </cell>
          <cell r="I67">
            <v>108.81</v>
          </cell>
          <cell r="J67">
            <v>106.75</v>
          </cell>
          <cell r="K67">
            <v>103.368</v>
          </cell>
          <cell r="L67">
            <v>102.37</v>
          </cell>
          <cell r="M67">
            <v>104.016</v>
          </cell>
          <cell r="N67">
            <v>99.172</v>
          </cell>
          <cell r="O67">
            <v>97.116</v>
          </cell>
          <cell r="P67">
            <v>1229.478</v>
          </cell>
        </row>
        <row r="68">
          <cell r="A68" t="str">
            <v>Average Weekly Cost Per Attendee</v>
          </cell>
          <cell r="C68">
            <v>23.643807692307693</v>
          </cell>
        </row>
        <row r="69">
          <cell r="A69" t="str">
            <v>Average Monthly Cost Per Attendee</v>
          </cell>
          <cell r="C69">
            <v>102.45649999999999</v>
          </cell>
        </row>
        <row r="70">
          <cell r="A70" t="str">
            <v>Average Annual Cost Per Attendee</v>
          </cell>
          <cell r="C70">
            <v>1229.478</v>
          </cell>
        </row>
        <row r="72">
          <cell r="A72" t="str">
            <v>Individual Cost: 500 Attendee Basis</v>
          </cell>
        </row>
        <row r="73">
          <cell r="A73" t="str">
            <v>Average # of Weekly Attendees</v>
          </cell>
          <cell r="C73">
            <v>600</v>
          </cell>
        </row>
        <row r="74">
          <cell r="A74" t="str">
            <v>Cost Per Attendee</v>
          </cell>
          <cell r="D74">
            <v>80.44</v>
          </cell>
          <cell r="E74">
            <v>82.93166666666667</v>
          </cell>
          <cell r="F74">
            <v>85.095</v>
          </cell>
          <cell r="G74">
            <v>87.18833333333333</v>
          </cell>
          <cell r="H74">
            <v>87.575</v>
          </cell>
          <cell r="I74">
            <v>90.675</v>
          </cell>
          <cell r="J74">
            <v>88.95833333333333</v>
          </cell>
          <cell r="K74">
            <v>86.14</v>
          </cell>
          <cell r="L74">
            <v>85.30833333333334</v>
          </cell>
          <cell r="M74">
            <v>86.68</v>
          </cell>
          <cell r="N74">
            <v>82.64333333333333</v>
          </cell>
          <cell r="O74">
            <v>80.93</v>
          </cell>
          <cell r="P74">
            <v>1024.565</v>
          </cell>
        </row>
        <row r="75">
          <cell r="A75" t="str">
            <v>Average Weekly Cost Per Attendee</v>
          </cell>
          <cell r="C75">
            <v>19.70317307692308</v>
          </cell>
        </row>
        <row r="76">
          <cell r="A76" t="str">
            <v>Average Monthly Cost Per Attendee</v>
          </cell>
          <cell r="C76">
            <v>85.38041666666668</v>
          </cell>
        </row>
        <row r="77">
          <cell r="A77" t="str">
            <v>Average Annual Cost Per Attendee</v>
          </cell>
          <cell r="C77">
            <v>1024.565</v>
          </cell>
        </row>
        <row r="79">
          <cell r="A79" t="str">
            <v>Individual Cost: Registered Family</v>
          </cell>
        </row>
        <row r="80">
          <cell r="A80" t="str">
            <v>Cost Per Family</v>
          </cell>
          <cell r="D80">
            <v>52.40390879478827</v>
          </cell>
          <cell r="E80">
            <v>54.0271444082519</v>
          </cell>
          <cell r="F80">
            <v>55.43648208469055</v>
          </cell>
          <cell r="G80">
            <v>56.80021715526602</v>
          </cell>
          <cell r="H80">
            <v>57.05211726384365</v>
          </cell>
          <cell r="I80">
            <v>59.071661237785015</v>
          </cell>
          <cell r="J80">
            <v>57.95331161780673</v>
          </cell>
          <cell r="K80">
            <v>56.11726384364821</v>
          </cell>
          <cell r="L80">
            <v>55.57546145494028</v>
          </cell>
          <cell r="M80">
            <v>56.469055374592834</v>
          </cell>
          <cell r="N80">
            <v>53.83930510314875</v>
          </cell>
          <cell r="O80">
            <v>52.72312703583062</v>
          </cell>
          <cell r="P80">
            <v>667.4690553745928</v>
          </cell>
        </row>
        <row r="81">
          <cell r="A81" t="str">
            <v>Average Weekly Cost Per Family</v>
          </cell>
          <cell r="C81">
            <v>12.835943372588323</v>
          </cell>
        </row>
        <row r="82">
          <cell r="A82" t="str">
            <v>Average Monthly Cost Per Family</v>
          </cell>
          <cell r="C82">
            <v>55.62242128121607</v>
          </cell>
        </row>
        <row r="83">
          <cell r="A83" t="str">
            <v>Average Annual Cost Per Family</v>
          </cell>
          <cell r="C83">
            <v>667.4690553745928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ch S"/>
      <sheetName val="A-1"/>
      <sheetName val="A-1A"/>
      <sheetName val="Page 4"/>
      <sheetName val="A-2"/>
      <sheetName val="A-2a"/>
      <sheetName val="B-1"/>
      <sheetName val="Page 7"/>
      <sheetName val="B-2"/>
      <sheetName val="B-2a"/>
      <sheetName val="B-2b"/>
      <sheetName val="C-1"/>
      <sheetName val="3-YR CAP"/>
      <sheetName val="Page 10"/>
      <sheetName val="Tuition"/>
      <sheetName val="REVEXP SUPP"/>
      <sheetName val="Allocation"/>
      <sheetName val="Pledge"/>
      <sheetName val="Signature"/>
    </sheetNames>
    <sheetDataSet>
      <sheetData sheetId="11">
        <row r="9">
          <cell r="C9">
            <v>5000</v>
          </cell>
          <cell r="D9">
            <v>0</v>
          </cell>
          <cell r="K9">
            <v>5100</v>
          </cell>
          <cell r="M9">
            <v>0</v>
          </cell>
        </row>
        <row r="10">
          <cell r="C10">
            <v>5010</v>
          </cell>
          <cell r="D10">
            <v>5000</v>
          </cell>
        </row>
        <row r="11">
          <cell r="C11">
            <v>5020</v>
          </cell>
          <cell r="D11">
            <v>0</v>
          </cell>
          <cell r="K11">
            <v>5120</v>
          </cell>
          <cell r="M11">
            <v>200000</v>
          </cell>
        </row>
        <row r="12">
          <cell r="C12">
            <v>5030</v>
          </cell>
          <cell r="D12">
            <v>17000</v>
          </cell>
        </row>
        <row r="13">
          <cell r="C13">
            <v>5050</v>
          </cell>
          <cell r="D13">
            <v>3000</v>
          </cell>
          <cell r="M13">
            <v>200000</v>
          </cell>
        </row>
        <row r="14">
          <cell r="C14">
            <v>5111</v>
          </cell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  <cell r="K18">
            <v>6100</v>
          </cell>
          <cell r="M18">
            <v>0</v>
          </cell>
        </row>
        <row r="19">
          <cell r="D19">
            <v>0</v>
          </cell>
          <cell r="M19">
            <v>0</v>
          </cell>
        </row>
        <row r="20">
          <cell r="C20">
            <v>5112</v>
          </cell>
          <cell r="D20">
            <v>0</v>
          </cell>
          <cell r="K20">
            <v>6110</v>
          </cell>
          <cell r="M20">
            <v>150000</v>
          </cell>
        </row>
        <row r="21">
          <cell r="C21">
            <v>5113</v>
          </cell>
          <cell r="D21">
            <v>0</v>
          </cell>
        </row>
        <row r="22">
          <cell r="C22">
            <v>5114</v>
          </cell>
          <cell r="D22">
            <v>0</v>
          </cell>
        </row>
        <row r="24">
          <cell r="D24">
            <v>25000</v>
          </cell>
        </row>
        <row r="25">
          <cell r="M25">
            <v>150000</v>
          </cell>
        </row>
        <row r="29">
          <cell r="C29">
            <v>6000</v>
          </cell>
          <cell r="D29">
            <v>0</v>
          </cell>
        </row>
        <row r="30">
          <cell r="C30">
            <v>6010</v>
          </cell>
          <cell r="D30">
            <v>5000</v>
          </cell>
        </row>
        <row r="31">
          <cell r="C31">
            <v>6020</v>
          </cell>
          <cell r="D31">
            <v>0</v>
          </cell>
        </row>
        <row r="32">
          <cell r="C32">
            <v>6030</v>
          </cell>
          <cell r="D32">
            <v>17000</v>
          </cell>
        </row>
        <row r="33">
          <cell r="D33">
            <v>0</v>
          </cell>
        </row>
        <row r="37">
          <cell r="D37">
            <v>22000</v>
          </cell>
        </row>
        <row r="39">
          <cell r="D39">
            <v>3000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-1 Page 1"/>
      <sheetName val="A-1A Page 2"/>
      <sheetName val="Other R&amp;E Page 3"/>
      <sheetName val="B-1 Page 4"/>
      <sheetName val="Other R&amp;E Page 5"/>
      <sheetName val="C-1 Page 6"/>
      <sheetName val="C-2 Page 7"/>
      <sheetName val="D-1 Page 8"/>
      <sheetName val="Sharing Page 9"/>
      <sheetName val="Catechesis Page 10"/>
      <sheetName val="School Page 11"/>
      <sheetName val="Allocation Page 12"/>
      <sheetName val="Pledges Page 13"/>
      <sheetName val="Status Animarum"/>
    </sheetNames>
    <sheetDataSet>
      <sheetData sheetId="5">
        <row r="10">
          <cell r="E10">
            <v>5000</v>
          </cell>
          <cell r="F10">
            <v>0</v>
          </cell>
          <cell r="M10">
            <v>6000</v>
          </cell>
          <cell r="N10">
            <v>0</v>
          </cell>
        </row>
        <row r="11">
          <cell r="E11">
            <v>5010</v>
          </cell>
          <cell r="F11">
            <v>600</v>
          </cell>
          <cell r="M11">
            <v>6010</v>
          </cell>
          <cell r="N11">
            <v>590</v>
          </cell>
        </row>
        <row r="12">
          <cell r="E12">
            <v>5020</v>
          </cell>
          <cell r="F12">
            <v>0</v>
          </cell>
          <cell r="M12">
            <v>6020</v>
          </cell>
          <cell r="N12">
            <v>0</v>
          </cell>
        </row>
        <row r="13">
          <cell r="E13">
            <v>5030</v>
          </cell>
          <cell r="F13">
            <v>19102</v>
          </cell>
          <cell r="M13">
            <v>6030</v>
          </cell>
          <cell r="N13">
            <v>23843</v>
          </cell>
        </row>
        <row r="14">
          <cell r="E14">
            <v>5050</v>
          </cell>
          <cell r="F14">
            <v>990</v>
          </cell>
          <cell r="M14">
            <v>6060</v>
          </cell>
          <cell r="N14">
            <v>3918</v>
          </cell>
        </row>
        <row r="15">
          <cell r="E15">
            <v>5111</v>
          </cell>
          <cell r="F15">
            <v>0</v>
          </cell>
        </row>
        <row r="16">
          <cell r="E16">
            <v>5060</v>
          </cell>
          <cell r="F16">
            <v>141270</v>
          </cell>
        </row>
        <row r="17">
          <cell r="F17">
            <v>437</v>
          </cell>
        </row>
        <row r="18">
          <cell r="F18">
            <v>2170</v>
          </cell>
        </row>
        <row r="19">
          <cell r="F19">
            <v>123797</v>
          </cell>
        </row>
        <row r="20">
          <cell r="F20">
            <v>14866</v>
          </cell>
        </row>
        <row r="21">
          <cell r="E21">
            <v>5112</v>
          </cell>
        </row>
        <row r="22">
          <cell r="E22">
            <v>5113</v>
          </cell>
        </row>
        <row r="23">
          <cell r="E23">
            <v>5114</v>
          </cell>
        </row>
        <row r="25">
          <cell r="F25">
            <v>161962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FY2009 Actual"/>
      <sheetName val="FY2010 Budget"/>
      <sheetName val="FY2011 Budget"/>
    </sheetNames>
    <sheetDataSet>
      <sheetData sheetId="1">
        <row r="8">
          <cell r="C8">
            <v>3000</v>
          </cell>
          <cell r="D8">
            <v>431672</v>
          </cell>
          <cell r="F8">
            <v>0</v>
          </cell>
          <cell r="H8">
            <v>0</v>
          </cell>
          <cell r="J8">
            <v>0</v>
          </cell>
          <cell r="L8">
            <v>431672</v>
          </cell>
        </row>
        <row r="9">
          <cell r="C9">
            <v>3020</v>
          </cell>
          <cell r="D9">
            <v>39595</v>
          </cell>
          <cell r="F9">
            <v>0</v>
          </cell>
          <cell r="H9">
            <v>0</v>
          </cell>
          <cell r="J9">
            <v>0</v>
          </cell>
          <cell r="L9">
            <v>39595</v>
          </cell>
        </row>
        <row r="10">
          <cell r="C10">
            <v>3030</v>
          </cell>
          <cell r="D10">
            <v>31186</v>
          </cell>
          <cell r="F10">
            <v>0</v>
          </cell>
          <cell r="H10">
            <v>0</v>
          </cell>
          <cell r="J10">
            <v>0</v>
          </cell>
          <cell r="L10">
            <v>31186</v>
          </cell>
        </row>
        <row r="11">
          <cell r="C11">
            <v>3040</v>
          </cell>
          <cell r="D11">
            <v>10146</v>
          </cell>
          <cell r="F11">
            <v>0</v>
          </cell>
          <cell r="H11">
            <v>0</v>
          </cell>
          <cell r="J11">
            <v>0</v>
          </cell>
          <cell r="L11">
            <v>10146</v>
          </cell>
        </row>
        <row r="12">
          <cell r="C12">
            <v>3100</v>
          </cell>
          <cell r="D12">
            <v>0</v>
          </cell>
          <cell r="F12">
            <v>15963</v>
          </cell>
          <cell r="H12">
            <v>0</v>
          </cell>
          <cell r="J12">
            <v>0</v>
          </cell>
          <cell r="L12">
            <v>15963</v>
          </cell>
        </row>
        <row r="13">
          <cell r="C13">
            <v>3110</v>
          </cell>
          <cell r="D13">
            <v>0</v>
          </cell>
          <cell r="F13">
            <v>960</v>
          </cell>
          <cell r="H13">
            <v>0</v>
          </cell>
          <cell r="J13">
            <v>0</v>
          </cell>
          <cell r="L13">
            <v>960</v>
          </cell>
        </row>
        <row r="14">
          <cell r="C14">
            <v>3200</v>
          </cell>
          <cell r="D14">
            <v>0</v>
          </cell>
          <cell r="F14">
            <v>0</v>
          </cell>
          <cell r="H14">
            <v>0</v>
          </cell>
          <cell r="J14">
            <v>0</v>
          </cell>
          <cell r="L14">
            <v>0</v>
          </cell>
        </row>
        <row r="15">
          <cell r="C15">
            <v>3350</v>
          </cell>
          <cell r="D15">
            <v>0</v>
          </cell>
          <cell r="F15">
            <v>0</v>
          </cell>
          <cell r="H15">
            <v>0</v>
          </cell>
          <cell r="J15">
            <v>12087</v>
          </cell>
          <cell r="L15">
            <v>12087</v>
          </cell>
        </row>
        <row r="16">
          <cell r="C16">
            <v>3450</v>
          </cell>
          <cell r="D16">
            <v>66744</v>
          </cell>
          <cell r="F16">
            <v>0</v>
          </cell>
          <cell r="H16">
            <v>0</v>
          </cell>
          <cell r="J16">
            <v>0</v>
          </cell>
          <cell r="L16">
            <v>66744</v>
          </cell>
        </row>
        <row r="17">
          <cell r="C17">
            <v>3500</v>
          </cell>
          <cell r="D17">
            <v>377</v>
          </cell>
          <cell r="F17">
            <v>0</v>
          </cell>
          <cell r="H17">
            <v>0</v>
          </cell>
          <cell r="J17">
            <v>0</v>
          </cell>
          <cell r="L17">
            <v>377</v>
          </cell>
        </row>
        <row r="18">
          <cell r="C18">
            <v>3550</v>
          </cell>
          <cell r="D18">
            <v>0</v>
          </cell>
          <cell r="F18">
            <v>0</v>
          </cell>
          <cell r="H18">
            <v>0</v>
          </cell>
          <cell r="J18">
            <v>0</v>
          </cell>
          <cell r="L18">
            <v>0</v>
          </cell>
        </row>
        <row r="19">
          <cell r="C19">
            <v>3600</v>
          </cell>
          <cell r="D19">
            <v>0</v>
          </cell>
          <cell r="F19">
            <v>0</v>
          </cell>
          <cell r="H19">
            <v>0</v>
          </cell>
          <cell r="J19">
            <v>0</v>
          </cell>
          <cell r="L19">
            <v>0</v>
          </cell>
        </row>
        <row r="20">
          <cell r="C20">
            <v>3700</v>
          </cell>
          <cell r="D20">
            <v>23213.54</v>
          </cell>
          <cell r="F20">
            <v>0</v>
          </cell>
          <cell r="H20">
            <v>0</v>
          </cell>
          <cell r="J20">
            <v>0</v>
          </cell>
          <cell r="L20">
            <v>23213.54</v>
          </cell>
        </row>
        <row r="22">
          <cell r="D22">
            <v>602933.54</v>
          </cell>
          <cell r="F22">
            <v>16923</v>
          </cell>
          <cell r="H22">
            <v>0</v>
          </cell>
          <cell r="J22">
            <v>12087</v>
          </cell>
          <cell r="L22">
            <v>631943.54</v>
          </cell>
        </row>
        <row r="25">
          <cell r="C25">
            <v>4010</v>
          </cell>
          <cell r="D25">
            <v>257712</v>
          </cell>
          <cell r="F25">
            <v>32530</v>
          </cell>
          <cell r="H25">
            <v>0</v>
          </cell>
          <cell r="J25">
            <v>0</v>
          </cell>
          <cell r="L25">
            <v>290242</v>
          </cell>
        </row>
        <row r="27">
          <cell r="C27">
            <v>4030</v>
          </cell>
          <cell r="D27">
            <v>33529</v>
          </cell>
          <cell r="F27">
            <v>0</v>
          </cell>
          <cell r="H27">
            <v>0</v>
          </cell>
          <cell r="J27">
            <v>0</v>
          </cell>
          <cell r="L27">
            <v>33529</v>
          </cell>
        </row>
        <row r="28">
          <cell r="C28">
            <v>4040</v>
          </cell>
          <cell r="D28">
            <v>14672</v>
          </cell>
          <cell r="F28">
            <v>0</v>
          </cell>
          <cell r="H28">
            <v>0</v>
          </cell>
          <cell r="J28">
            <v>0</v>
          </cell>
          <cell r="L28">
            <v>14672</v>
          </cell>
        </row>
        <row r="29">
          <cell r="C29">
            <v>4050</v>
          </cell>
          <cell r="D29">
            <v>10087</v>
          </cell>
          <cell r="F29">
            <v>0</v>
          </cell>
          <cell r="H29">
            <v>0</v>
          </cell>
          <cell r="J29">
            <v>0</v>
          </cell>
          <cell r="L29">
            <v>10087</v>
          </cell>
        </row>
        <row r="30">
          <cell r="C30">
            <v>4060</v>
          </cell>
          <cell r="D30">
            <v>2300</v>
          </cell>
          <cell r="F30">
            <v>0</v>
          </cell>
          <cell r="H30">
            <v>0</v>
          </cell>
          <cell r="J30">
            <v>0</v>
          </cell>
          <cell r="L30">
            <v>2300</v>
          </cell>
        </row>
        <row r="31">
          <cell r="C31">
            <v>4100</v>
          </cell>
          <cell r="D31">
            <v>6378</v>
          </cell>
          <cell r="F31">
            <v>0</v>
          </cell>
          <cell r="H31">
            <v>0</v>
          </cell>
          <cell r="J31">
            <v>0</v>
          </cell>
          <cell r="L31">
            <v>6378</v>
          </cell>
        </row>
        <row r="32">
          <cell r="C32">
            <v>4150</v>
          </cell>
          <cell r="D32">
            <v>21657</v>
          </cell>
          <cell r="F32">
            <v>0</v>
          </cell>
          <cell r="H32">
            <v>0</v>
          </cell>
          <cell r="J32">
            <v>0</v>
          </cell>
          <cell r="L32">
            <v>21657</v>
          </cell>
        </row>
        <row r="33">
          <cell r="C33">
            <v>4200</v>
          </cell>
          <cell r="D33">
            <v>433</v>
          </cell>
          <cell r="F33">
            <v>0</v>
          </cell>
          <cell r="H33">
            <v>0</v>
          </cell>
          <cell r="J33">
            <v>0</v>
          </cell>
          <cell r="L33">
            <v>433</v>
          </cell>
        </row>
        <row r="34">
          <cell r="C34">
            <v>4250</v>
          </cell>
          <cell r="D34">
            <v>12078</v>
          </cell>
          <cell r="F34">
            <v>0</v>
          </cell>
          <cell r="H34">
            <v>0</v>
          </cell>
          <cell r="J34">
            <v>0</v>
          </cell>
          <cell r="L34">
            <v>12078</v>
          </cell>
        </row>
        <row r="35">
          <cell r="L35">
            <v>0</v>
          </cell>
        </row>
        <row r="36">
          <cell r="C36">
            <v>4400</v>
          </cell>
          <cell r="D36">
            <v>2500</v>
          </cell>
          <cell r="F36">
            <v>0</v>
          </cell>
          <cell r="H36">
            <v>0</v>
          </cell>
          <cell r="J36">
            <v>0</v>
          </cell>
          <cell r="L36">
            <v>2500</v>
          </cell>
        </row>
        <row r="37">
          <cell r="C37">
            <v>4410</v>
          </cell>
          <cell r="D37">
            <v>26530</v>
          </cell>
          <cell r="F37">
            <v>0</v>
          </cell>
          <cell r="H37">
            <v>0</v>
          </cell>
          <cell r="J37">
            <v>0</v>
          </cell>
          <cell r="L37">
            <v>26530</v>
          </cell>
        </row>
        <row r="38">
          <cell r="C38">
            <v>4420</v>
          </cell>
          <cell r="D38">
            <v>18533</v>
          </cell>
          <cell r="F38">
            <v>0</v>
          </cell>
          <cell r="H38">
            <v>0</v>
          </cell>
          <cell r="J38">
            <v>0</v>
          </cell>
          <cell r="L38">
            <v>18533</v>
          </cell>
        </row>
        <row r="39">
          <cell r="C39">
            <v>4430</v>
          </cell>
          <cell r="D39">
            <v>3566</v>
          </cell>
          <cell r="F39">
            <v>0</v>
          </cell>
          <cell r="H39">
            <v>0</v>
          </cell>
          <cell r="J39">
            <v>0</v>
          </cell>
          <cell r="L39">
            <v>3566</v>
          </cell>
        </row>
        <row r="40">
          <cell r="C40">
            <v>4450</v>
          </cell>
          <cell r="D40">
            <v>38235</v>
          </cell>
          <cell r="F40">
            <v>0</v>
          </cell>
          <cell r="H40">
            <v>0</v>
          </cell>
          <cell r="J40">
            <v>0</v>
          </cell>
          <cell r="L40">
            <v>38235</v>
          </cell>
        </row>
        <row r="41">
          <cell r="C41">
            <v>4550</v>
          </cell>
          <cell r="D41">
            <v>0</v>
          </cell>
          <cell r="F41">
            <v>0</v>
          </cell>
          <cell r="H41">
            <v>0</v>
          </cell>
          <cell r="J41">
            <v>0</v>
          </cell>
          <cell r="L41">
            <v>0</v>
          </cell>
        </row>
        <row r="42">
          <cell r="C42">
            <v>4600</v>
          </cell>
          <cell r="D42">
            <v>3353</v>
          </cell>
          <cell r="F42">
            <v>0</v>
          </cell>
          <cell r="H42">
            <v>0</v>
          </cell>
          <cell r="J42">
            <v>0</v>
          </cell>
          <cell r="L42">
            <v>3353</v>
          </cell>
        </row>
        <row r="43">
          <cell r="C43">
            <v>4650</v>
          </cell>
          <cell r="D43">
            <v>15758</v>
          </cell>
          <cell r="F43">
            <v>43</v>
          </cell>
          <cell r="H43">
            <v>0</v>
          </cell>
          <cell r="J43">
            <v>0</v>
          </cell>
          <cell r="L43">
            <v>15801</v>
          </cell>
        </row>
        <row r="44">
          <cell r="C44">
            <v>4700</v>
          </cell>
          <cell r="D44">
            <v>14924</v>
          </cell>
          <cell r="F44">
            <v>0</v>
          </cell>
          <cell r="H44">
            <v>0</v>
          </cell>
          <cell r="J44">
            <v>0</v>
          </cell>
          <cell r="L44">
            <v>14924</v>
          </cell>
        </row>
        <row r="45">
          <cell r="C45">
            <v>4750</v>
          </cell>
          <cell r="D45">
            <v>56070</v>
          </cell>
          <cell r="F45">
            <v>0</v>
          </cell>
          <cell r="H45">
            <v>0</v>
          </cell>
          <cell r="J45">
            <v>0</v>
          </cell>
          <cell r="L45">
            <v>56070</v>
          </cell>
        </row>
        <row r="46">
          <cell r="C46">
            <v>4760</v>
          </cell>
          <cell r="D46">
            <v>12000</v>
          </cell>
          <cell r="F46">
            <v>0</v>
          </cell>
          <cell r="H46">
            <v>0</v>
          </cell>
          <cell r="J46">
            <v>0</v>
          </cell>
          <cell r="L46">
            <v>12000</v>
          </cell>
        </row>
        <row r="47">
          <cell r="C47">
            <v>4780</v>
          </cell>
          <cell r="D47">
            <v>22659</v>
          </cell>
          <cell r="F47">
            <v>0</v>
          </cell>
          <cell r="H47">
            <v>0</v>
          </cell>
          <cell r="J47">
            <v>0</v>
          </cell>
          <cell r="L47">
            <v>22659</v>
          </cell>
        </row>
        <row r="48">
          <cell r="C48">
            <v>4790</v>
          </cell>
          <cell r="D48">
            <v>1000</v>
          </cell>
          <cell r="F48">
            <v>0</v>
          </cell>
          <cell r="H48">
            <v>0</v>
          </cell>
          <cell r="J48">
            <v>0</v>
          </cell>
          <cell r="L48">
            <v>1000</v>
          </cell>
        </row>
        <row r="49">
          <cell r="C49">
            <v>4800</v>
          </cell>
          <cell r="D49">
            <v>26690</v>
          </cell>
          <cell r="F49">
            <v>6079</v>
          </cell>
          <cell r="H49">
            <v>0</v>
          </cell>
          <cell r="J49">
            <v>715</v>
          </cell>
          <cell r="L49">
            <v>33484</v>
          </cell>
        </row>
        <row r="51">
          <cell r="D51">
            <v>600664</v>
          </cell>
          <cell r="F51">
            <v>38652</v>
          </cell>
          <cell r="H51">
            <v>0</v>
          </cell>
          <cell r="J51">
            <v>715</v>
          </cell>
          <cell r="L51">
            <v>640031</v>
          </cell>
        </row>
        <row r="53">
          <cell r="D53">
            <v>2269.5400000000373</v>
          </cell>
          <cell r="F53">
            <v>-21729</v>
          </cell>
          <cell r="H53">
            <v>0</v>
          </cell>
          <cell r="J53">
            <v>11372</v>
          </cell>
          <cell r="L53">
            <v>-8087.459999999963</v>
          </cell>
        </row>
      </sheetData>
      <sheetData sheetId="3">
        <row r="8">
          <cell r="C8">
            <v>3000</v>
          </cell>
          <cell r="D8">
            <v>440000</v>
          </cell>
          <cell r="F8">
            <v>0</v>
          </cell>
          <cell r="H8">
            <v>0</v>
          </cell>
          <cell r="J8" t="str">
            <v>X</v>
          </cell>
          <cell r="L8">
            <v>440000</v>
          </cell>
        </row>
        <row r="9">
          <cell r="C9">
            <v>3020</v>
          </cell>
          <cell r="D9">
            <v>22000</v>
          </cell>
          <cell r="F9">
            <v>0</v>
          </cell>
          <cell r="H9">
            <v>0</v>
          </cell>
          <cell r="J9" t="str">
            <v>X</v>
          </cell>
          <cell r="L9">
            <v>22000</v>
          </cell>
        </row>
        <row r="10">
          <cell r="C10">
            <v>3030</v>
          </cell>
          <cell r="D10">
            <v>17000</v>
          </cell>
          <cell r="F10">
            <v>0</v>
          </cell>
          <cell r="H10">
            <v>0</v>
          </cell>
          <cell r="J10" t="str">
            <v>X</v>
          </cell>
          <cell r="L10">
            <v>17000</v>
          </cell>
        </row>
        <row r="11">
          <cell r="C11">
            <v>3040</v>
          </cell>
          <cell r="D11">
            <v>8000</v>
          </cell>
          <cell r="F11">
            <v>0</v>
          </cell>
          <cell r="H11">
            <v>0</v>
          </cell>
          <cell r="J11" t="str">
            <v>X</v>
          </cell>
          <cell r="L11">
            <v>8000</v>
          </cell>
        </row>
        <row r="12">
          <cell r="C12">
            <v>3100</v>
          </cell>
          <cell r="D12" t="str">
            <v>X</v>
          </cell>
          <cell r="F12">
            <v>16700</v>
          </cell>
          <cell r="H12">
            <v>0</v>
          </cell>
          <cell r="J12">
            <v>0</v>
          </cell>
          <cell r="L12">
            <v>16700</v>
          </cell>
        </row>
        <row r="13">
          <cell r="C13">
            <v>3110</v>
          </cell>
          <cell r="D13">
            <v>400</v>
          </cell>
          <cell r="F13">
            <v>500</v>
          </cell>
          <cell r="H13">
            <v>0</v>
          </cell>
          <cell r="J13">
            <v>0</v>
          </cell>
          <cell r="L13">
            <v>500</v>
          </cell>
        </row>
        <row r="14">
          <cell r="C14">
            <v>3200</v>
          </cell>
          <cell r="D14" t="str">
            <v>X</v>
          </cell>
          <cell r="F14">
            <v>0</v>
          </cell>
          <cell r="H14">
            <v>0</v>
          </cell>
          <cell r="J14">
            <v>0</v>
          </cell>
          <cell r="L14">
            <v>0</v>
          </cell>
        </row>
        <row r="15">
          <cell r="C15">
            <v>3350</v>
          </cell>
          <cell r="D15" t="str">
            <v>X</v>
          </cell>
          <cell r="F15" t="str">
            <v>X</v>
          </cell>
          <cell r="H15" t="str">
            <v>X</v>
          </cell>
          <cell r="J15">
            <v>9500</v>
          </cell>
          <cell r="L15">
            <v>9500</v>
          </cell>
        </row>
        <row r="16">
          <cell r="C16">
            <v>3450</v>
          </cell>
          <cell r="D16">
            <v>126000</v>
          </cell>
          <cell r="F16">
            <v>0</v>
          </cell>
          <cell r="H16">
            <v>0</v>
          </cell>
          <cell r="J16">
            <v>0</v>
          </cell>
          <cell r="L16">
            <v>126000</v>
          </cell>
        </row>
        <row r="17">
          <cell r="C17">
            <v>3500</v>
          </cell>
          <cell r="D17">
            <v>350</v>
          </cell>
          <cell r="F17">
            <v>0</v>
          </cell>
          <cell r="H17">
            <v>0</v>
          </cell>
          <cell r="J17">
            <v>0</v>
          </cell>
          <cell r="L17">
            <v>350</v>
          </cell>
        </row>
        <row r="18">
          <cell r="C18">
            <v>3550</v>
          </cell>
          <cell r="D18" t="str">
            <v>X</v>
          </cell>
          <cell r="F18" t="str">
            <v>X</v>
          </cell>
          <cell r="H18" t="str">
            <v>X</v>
          </cell>
          <cell r="J18">
            <v>0</v>
          </cell>
          <cell r="L18">
            <v>0</v>
          </cell>
        </row>
        <row r="19">
          <cell r="C19">
            <v>3600</v>
          </cell>
          <cell r="D19">
            <v>0</v>
          </cell>
          <cell r="F19">
            <v>0</v>
          </cell>
          <cell r="H19">
            <v>0</v>
          </cell>
          <cell r="J19">
            <v>0</v>
          </cell>
          <cell r="L19">
            <v>0</v>
          </cell>
        </row>
        <row r="20">
          <cell r="C20">
            <v>3700</v>
          </cell>
          <cell r="D20">
            <v>15500</v>
          </cell>
          <cell r="F20">
            <v>0</v>
          </cell>
          <cell r="H20">
            <v>0</v>
          </cell>
          <cell r="J20">
            <v>0</v>
          </cell>
          <cell r="L20">
            <v>15500</v>
          </cell>
        </row>
        <row r="22">
          <cell r="D22">
            <v>629250</v>
          </cell>
          <cell r="F22">
            <v>17200</v>
          </cell>
          <cell r="H22">
            <v>0</v>
          </cell>
          <cell r="J22">
            <v>9500</v>
          </cell>
          <cell r="L22">
            <v>655550</v>
          </cell>
        </row>
        <row r="25">
          <cell r="C25">
            <v>4010</v>
          </cell>
          <cell r="D25">
            <v>252341.96000000002</v>
          </cell>
          <cell r="F25">
            <v>29580</v>
          </cell>
          <cell r="H25">
            <v>0</v>
          </cell>
          <cell r="J25">
            <v>0</v>
          </cell>
          <cell r="L25">
            <v>281921.96</v>
          </cell>
        </row>
        <row r="26">
          <cell r="C26">
            <v>4030</v>
          </cell>
          <cell r="D26">
            <v>32600</v>
          </cell>
          <cell r="F26">
            <v>8150</v>
          </cell>
          <cell r="H26">
            <v>0</v>
          </cell>
          <cell r="J26">
            <v>0</v>
          </cell>
          <cell r="L26">
            <v>40750</v>
          </cell>
        </row>
        <row r="27">
          <cell r="C27">
            <v>4040</v>
          </cell>
          <cell r="D27">
            <v>15344.443440000001</v>
          </cell>
          <cell r="F27">
            <v>2262.87</v>
          </cell>
          <cell r="H27">
            <v>0</v>
          </cell>
          <cell r="J27">
            <v>0</v>
          </cell>
          <cell r="L27">
            <v>17607.31344</v>
          </cell>
        </row>
        <row r="28">
          <cell r="C28">
            <v>4050</v>
          </cell>
          <cell r="D28">
            <v>16046.476800000002</v>
          </cell>
          <cell r="F28">
            <v>2366.4</v>
          </cell>
          <cell r="H28">
            <v>0</v>
          </cell>
          <cell r="J28">
            <v>0</v>
          </cell>
          <cell r="L28">
            <v>18412.876800000002</v>
          </cell>
        </row>
        <row r="29">
          <cell r="C29">
            <v>4060</v>
          </cell>
          <cell r="D29">
            <v>2200</v>
          </cell>
          <cell r="F29">
            <v>0</v>
          </cell>
          <cell r="H29">
            <v>0</v>
          </cell>
          <cell r="J29">
            <v>0</v>
          </cell>
          <cell r="L29">
            <v>2200</v>
          </cell>
        </row>
        <row r="30">
          <cell r="C30">
            <v>4100</v>
          </cell>
          <cell r="D30">
            <v>3000</v>
          </cell>
          <cell r="F30">
            <v>2000</v>
          </cell>
          <cell r="H30">
            <v>0</v>
          </cell>
          <cell r="J30">
            <v>0</v>
          </cell>
          <cell r="L30">
            <v>5000</v>
          </cell>
        </row>
        <row r="31">
          <cell r="C31">
            <v>4150</v>
          </cell>
          <cell r="D31">
            <v>17800</v>
          </cell>
          <cell r="F31">
            <v>1700</v>
          </cell>
          <cell r="H31">
            <v>0</v>
          </cell>
          <cell r="J31">
            <v>0</v>
          </cell>
          <cell r="L31">
            <v>19500</v>
          </cell>
        </row>
        <row r="32">
          <cell r="C32">
            <v>4200</v>
          </cell>
          <cell r="D32">
            <v>0</v>
          </cell>
          <cell r="F32">
            <v>0</v>
          </cell>
          <cell r="H32">
            <v>0</v>
          </cell>
          <cell r="J32">
            <v>0</v>
          </cell>
          <cell r="L32">
            <v>0</v>
          </cell>
        </row>
        <row r="33">
          <cell r="C33">
            <v>4250</v>
          </cell>
          <cell r="D33">
            <v>12798</v>
          </cell>
          <cell r="F33">
            <v>0</v>
          </cell>
          <cell r="H33">
            <v>0</v>
          </cell>
          <cell r="J33">
            <v>0</v>
          </cell>
          <cell r="L33">
            <v>12798</v>
          </cell>
        </row>
        <row r="34">
          <cell r="C34">
            <v>4400</v>
          </cell>
          <cell r="D34">
            <v>3200</v>
          </cell>
          <cell r="F34">
            <v>0</v>
          </cell>
          <cell r="H34">
            <v>0</v>
          </cell>
          <cell r="J34">
            <v>0</v>
          </cell>
          <cell r="L34">
            <v>3200</v>
          </cell>
        </row>
        <row r="35">
          <cell r="C35">
            <v>4410</v>
          </cell>
          <cell r="D35">
            <v>48000</v>
          </cell>
          <cell r="F35">
            <v>0</v>
          </cell>
          <cell r="H35">
            <v>0</v>
          </cell>
          <cell r="J35">
            <v>0</v>
          </cell>
          <cell r="L35">
            <v>48000</v>
          </cell>
        </row>
        <row r="36">
          <cell r="C36">
            <v>4420</v>
          </cell>
          <cell r="D36">
            <v>18600</v>
          </cell>
          <cell r="F36">
            <v>0</v>
          </cell>
          <cell r="H36">
            <v>0</v>
          </cell>
          <cell r="J36">
            <v>0</v>
          </cell>
          <cell r="L36">
            <v>18600</v>
          </cell>
        </row>
        <row r="37">
          <cell r="C37">
            <v>4430</v>
          </cell>
          <cell r="D37">
            <v>2750</v>
          </cell>
          <cell r="F37">
            <v>0</v>
          </cell>
          <cell r="H37">
            <v>0</v>
          </cell>
          <cell r="J37">
            <v>0</v>
          </cell>
          <cell r="L37">
            <v>2750</v>
          </cell>
        </row>
        <row r="38">
          <cell r="C38">
            <v>4450</v>
          </cell>
          <cell r="D38">
            <v>36000</v>
          </cell>
          <cell r="F38">
            <v>0</v>
          </cell>
          <cell r="H38">
            <v>0</v>
          </cell>
          <cell r="J38">
            <v>0</v>
          </cell>
          <cell r="L38">
            <v>36000</v>
          </cell>
        </row>
        <row r="39">
          <cell r="C39">
            <v>4550</v>
          </cell>
          <cell r="D39" t="str">
            <v>X</v>
          </cell>
          <cell r="F39" t="str">
            <v>X</v>
          </cell>
          <cell r="H39" t="str">
            <v>X</v>
          </cell>
          <cell r="J39">
            <v>0</v>
          </cell>
          <cell r="L39">
            <v>0</v>
          </cell>
        </row>
        <row r="40">
          <cell r="C40">
            <v>4600</v>
          </cell>
          <cell r="D40">
            <v>0</v>
          </cell>
          <cell r="F40">
            <v>0</v>
          </cell>
          <cell r="H40">
            <v>0</v>
          </cell>
          <cell r="J40">
            <v>0</v>
          </cell>
          <cell r="L40">
            <v>0</v>
          </cell>
        </row>
        <row r="41">
          <cell r="C41">
            <v>4650</v>
          </cell>
          <cell r="D41">
            <v>13500</v>
          </cell>
          <cell r="F41">
            <v>0</v>
          </cell>
          <cell r="H41">
            <v>0</v>
          </cell>
          <cell r="J41">
            <v>0</v>
          </cell>
          <cell r="L41">
            <v>13500</v>
          </cell>
        </row>
        <row r="42">
          <cell r="C42">
            <v>4700</v>
          </cell>
          <cell r="D42">
            <v>1200</v>
          </cell>
          <cell r="F42">
            <v>0</v>
          </cell>
          <cell r="H42">
            <v>0</v>
          </cell>
          <cell r="J42">
            <v>0</v>
          </cell>
          <cell r="L42">
            <v>1200</v>
          </cell>
        </row>
        <row r="43">
          <cell r="C43">
            <v>4750</v>
          </cell>
          <cell r="D43">
            <v>60256</v>
          </cell>
          <cell r="F43">
            <v>0</v>
          </cell>
          <cell r="H43">
            <v>0</v>
          </cell>
          <cell r="J43">
            <v>0</v>
          </cell>
          <cell r="L43">
            <v>60256</v>
          </cell>
        </row>
        <row r="44">
          <cell r="C44">
            <v>4760</v>
          </cell>
          <cell r="D44">
            <v>21089</v>
          </cell>
          <cell r="F44">
            <v>0</v>
          </cell>
          <cell r="H44">
            <v>0</v>
          </cell>
          <cell r="J44">
            <v>0</v>
          </cell>
          <cell r="L44">
            <v>21089</v>
          </cell>
        </row>
        <row r="45">
          <cell r="C45">
            <v>4780</v>
          </cell>
          <cell r="D45">
            <v>23742</v>
          </cell>
          <cell r="F45">
            <v>0</v>
          </cell>
          <cell r="H45">
            <v>0</v>
          </cell>
          <cell r="J45">
            <v>0</v>
          </cell>
          <cell r="L45">
            <v>23742</v>
          </cell>
        </row>
        <row r="46">
          <cell r="C46">
            <v>4790</v>
          </cell>
          <cell r="D46">
            <v>1050</v>
          </cell>
          <cell r="F46">
            <v>0</v>
          </cell>
          <cell r="H46">
            <v>0</v>
          </cell>
          <cell r="J46">
            <v>0</v>
          </cell>
          <cell r="L46">
            <v>1050</v>
          </cell>
        </row>
        <row r="47">
          <cell r="C47">
            <v>4800</v>
          </cell>
          <cell r="D47">
            <v>14450</v>
          </cell>
          <cell r="F47">
            <v>5000</v>
          </cell>
          <cell r="H47">
            <v>0</v>
          </cell>
          <cell r="J47">
            <v>0</v>
          </cell>
          <cell r="L47">
            <v>19450</v>
          </cell>
        </row>
        <row r="49">
          <cell r="D49">
            <v>595967.8802400001</v>
          </cell>
          <cell r="F49">
            <v>51059.270000000004</v>
          </cell>
          <cell r="H49">
            <v>0</v>
          </cell>
          <cell r="J49">
            <v>0</v>
          </cell>
          <cell r="L49">
            <v>647027.1502400001</v>
          </cell>
        </row>
        <row r="52">
          <cell r="D52">
            <v>33282.119759999914</v>
          </cell>
          <cell r="F52">
            <v>-33859.270000000004</v>
          </cell>
          <cell r="H52">
            <v>0</v>
          </cell>
          <cell r="J52">
            <v>9500</v>
          </cell>
          <cell r="L52">
            <v>8522.849759999895</v>
          </cell>
        </row>
        <row r="54">
          <cell r="C54">
            <v>3750</v>
          </cell>
          <cell r="L54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perating Statement"/>
      <sheetName val="Capital Statement"/>
      <sheetName val="Income Statement"/>
      <sheetName val="Summary"/>
      <sheetName val="2009 Actual"/>
      <sheetName val="2010 Budget"/>
    </sheetNames>
    <sheetDataSet>
      <sheetData sheetId="5">
        <row r="10">
          <cell r="C10">
            <v>3030</v>
          </cell>
          <cell r="D10">
            <v>26000</v>
          </cell>
          <cell r="F10">
            <v>0</v>
          </cell>
          <cell r="H10">
            <v>0</v>
          </cell>
          <cell r="J10">
            <v>0</v>
          </cell>
          <cell r="L10">
            <v>26000</v>
          </cell>
        </row>
        <row r="11">
          <cell r="C11">
            <v>3040</v>
          </cell>
          <cell r="D11">
            <v>7700</v>
          </cell>
          <cell r="F11">
            <v>0</v>
          </cell>
          <cell r="H11">
            <v>0</v>
          </cell>
          <cell r="J11">
            <v>0</v>
          </cell>
          <cell r="L11">
            <v>7700</v>
          </cell>
        </row>
        <row r="12">
          <cell r="C12">
            <v>3100</v>
          </cell>
          <cell r="D12">
            <v>0</v>
          </cell>
          <cell r="F12">
            <v>13575</v>
          </cell>
          <cell r="H12">
            <v>0</v>
          </cell>
          <cell r="J12">
            <v>0</v>
          </cell>
          <cell r="L12">
            <v>13575</v>
          </cell>
        </row>
        <row r="13">
          <cell r="C13">
            <v>3110</v>
          </cell>
          <cell r="D13">
            <v>350</v>
          </cell>
          <cell r="F13">
            <v>500</v>
          </cell>
          <cell r="H13">
            <v>0</v>
          </cell>
          <cell r="J13">
            <v>0</v>
          </cell>
          <cell r="L13">
            <v>850</v>
          </cell>
        </row>
        <row r="14">
          <cell r="C14">
            <v>3200</v>
          </cell>
          <cell r="D14">
            <v>0</v>
          </cell>
          <cell r="F14">
            <v>0</v>
          </cell>
          <cell r="H14">
            <v>0</v>
          </cell>
          <cell r="J14">
            <v>0</v>
          </cell>
          <cell r="L14">
            <v>0</v>
          </cell>
        </row>
        <row r="15">
          <cell r="C15">
            <v>3350</v>
          </cell>
          <cell r="D15">
            <v>0</v>
          </cell>
          <cell r="F15">
            <v>0</v>
          </cell>
          <cell r="H15">
            <v>0</v>
          </cell>
          <cell r="J15">
            <v>10000</v>
          </cell>
          <cell r="L15">
            <v>10000</v>
          </cell>
        </row>
        <row r="16">
          <cell r="C16">
            <v>3450</v>
          </cell>
          <cell r="D16">
            <v>63900</v>
          </cell>
          <cell r="F16">
            <v>0</v>
          </cell>
          <cell r="H16">
            <v>0</v>
          </cell>
          <cell r="J16">
            <v>0</v>
          </cell>
          <cell r="L16">
            <v>63900</v>
          </cell>
        </row>
        <row r="17">
          <cell r="C17">
            <v>3500</v>
          </cell>
          <cell r="D17">
            <v>315</v>
          </cell>
          <cell r="F17">
            <v>0</v>
          </cell>
          <cell r="H17">
            <v>0</v>
          </cell>
          <cell r="J17">
            <v>0</v>
          </cell>
          <cell r="L17">
            <v>315</v>
          </cell>
        </row>
        <row r="18">
          <cell r="C18">
            <v>3550</v>
          </cell>
          <cell r="D18">
            <v>0</v>
          </cell>
          <cell r="F18">
            <v>0</v>
          </cell>
          <cell r="H18">
            <v>0</v>
          </cell>
          <cell r="J18">
            <v>0</v>
          </cell>
          <cell r="L18">
            <v>0</v>
          </cell>
        </row>
        <row r="19">
          <cell r="C19">
            <v>3600</v>
          </cell>
          <cell r="D19">
            <v>0</v>
          </cell>
          <cell r="F19">
            <v>0</v>
          </cell>
          <cell r="H19">
            <v>0</v>
          </cell>
          <cell r="J19">
            <v>0</v>
          </cell>
          <cell r="L19">
            <v>0</v>
          </cell>
        </row>
        <row r="20">
          <cell r="C20">
            <v>3700</v>
          </cell>
          <cell r="D20">
            <v>13500</v>
          </cell>
          <cell r="F20">
            <v>0</v>
          </cell>
          <cell r="H20">
            <v>0</v>
          </cell>
          <cell r="J20">
            <v>0</v>
          </cell>
          <cell r="L20">
            <v>13500</v>
          </cell>
        </row>
        <row r="22">
          <cell r="D22">
            <v>620765</v>
          </cell>
          <cell r="F22">
            <v>14075</v>
          </cell>
          <cell r="H22">
            <v>0</v>
          </cell>
          <cell r="J22">
            <v>10000</v>
          </cell>
          <cell r="L22">
            <v>644840</v>
          </cell>
        </row>
        <row r="25">
          <cell r="C25">
            <v>4010</v>
          </cell>
          <cell r="D25">
            <v>248225</v>
          </cell>
          <cell r="F25">
            <v>29000</v>
          </cell>
          <cell r="H25">
            <v>0</v>
          </cell>
          <cell r="J25">
            <v>0</v>
          </cell>
          <cell r="L25">
            <v>277225</v>
          </cell>
        </row>
        <row r="27">
          <cell r="C27">
            <v>4030</v>
          </cell>
          <cell r="D27">
            <v>28416</v>
          </cell>
          <cell r="F27">
            <v>7104</v>
          </cell>
          <cell r="H27">
            <v>0</v>
          </cell>
          <cell r="J27">
            <v>0</v>
          </cell>
          <cell r="L27">
            <v>35520</v>
          </cell>
        </row>
        <row r="28">
          <cell r="C28">
            <v>4040</v>
          </cell>
          <cell r="D28">
            <v>15326.6985</v>
          </cell>
          <cell r="F28">
            <v>2218.5</v>
          </cell>
          <cell r="H28">
            <v>0</v>
          </cell>
          <cell r="J28">
            <v>0</v>
          </cell>
          <cell r="L28">
            <v>17545.1985</v>
          </cell>
        </row>
        <row r="29">
          <cell r="C29">
            <v>4050</v>
          </cell>
          <cell r="D29">
            <v>10140.24</v>
          </cell>
          <cell r="F29">
            <v>2320</v>
          </cell>
          <cell r="H29">
            <v>0</v>
          </cell>
          <cell r="J29">
            <v>0</v>
          </cell>
          <cell r="L29">
            <v>12460.24</v>
          </cell>
        </row>
        <row r="30">
          <cell r="C30">
            <v>4060</v>
          </cell>
          <cell r="D30">
            <v>12200</v>
          </cell>
          <cell r="F30">
            <v>0</v>
          </cell>
          <cell r="H30">
            <v>0</v>
          </cell>
          <cell r="J30">
            <v>0</v>
          </cell>
          <cell r="L30">
            <v>12200</v>
          </cell>
        </row>
        <row r="31">
          <cell r="C31">
            <v>4100</v>
          </cell>
          <cell r="D31">
            <v>3150</v>
          </cell>
          <cell r="F31">
            <v>2100</v>
          </cell>
          <cell r="H31">
            <v>0</v>
          </cell>
          <cell r="J31">
            <v>0</v>
          </cell>
          <cell r="L31">
            <v>5250</v>
          </cell>
        </row>
        <row r="32">
          <cell r="C32">
            <v>4150</v>
          </cell>
          <cell r="D32">
            <v>18040</v>
          </cell>
          <cell r="F32">
            <v>1500</v>
          </cell>
          <cell r="H32">
            <v>0</v>
          </cell>
          <cell r="J32">
            <v>0</v>
          </cell>
          <cell r="L32">
            <v>19540</v>
          </cell>
        </row>
        <row r="33">
          <cell r="C33">
            <v>4200</v>
          </cell>
          <cell r="D33">
            <v>500</v>
          </cell>
          <cell r="F33">
            <v>0</v>
          </cell>
          <cell r="H33">
            <v>0</v>
          </cell>
          <cell r="J33">
            <v>0</v>
          </cell>
          <cell r="L33">
            <v>500</v>
          </cell>
        </row>
        <row r="34">
          <cell r="C34">
            <v>4250</v>
          </cell>
          <cell r="D34">
            <v>12798</v>
          </cell>
          <cell r="F34">
            <v>0</v>
          </cell>
          <cell r="H34">
            <v>0</v>
          </cell>
          <cell r="J34">
            <v>0</v>
          </cell>
          <cell r="L34">
            <v>12798</v>
          </cell>
        </row>
        <row r="35">
          <cell r="L35">
            <v>0</v>
          </cell>
        </row>
        <row r="36">
          <cell r="C36">
            <v>4400</v>
          </cell>
          <cell r="D36">
            <v>2800</v>
          </cell>
          <cell r="F36">
            <v>0</v>
          </cell>
          <cell r="H36">
            <v>0</v>
          </cell>
          <cell r="J36">
            <v>0</v>
          </cell>
          <cell r="L36">
            <v>2800</v>
          </cell>
        </row>
        <row r="37">
          <cell r="C37">
            <v>4410</v>
          </cell>
          <cell r="D37">
            <v>44000</v>
          </cell>
          <cell r="F37">
            <v>0</v>
          </cell>
          <cell r="H37">
            <v>0</v>
          </cell>
          <cell r="J37">
            <v>0</v>
          </cell>
          <cell r="L37">
            <v>44000</v>
          </cell>
        </row>
        <row r="38">
          <cell r="C38">
            <v>4420</v>
          </cell>
          <cell r="D38">
            <v>18000</v>
          </cell>
          <cell r="F38">
            <v>0</v>
          </cell>
          <cell r="H38">
            <v>0</v>
          </cell>
          <cell r="J38">
            <v>0</v>
          </cell>
          <cell r="L38">
            <v>18000</v>
          </cell>
        </row>
        <row r="39">
          <cell r="C39">
            <v>4430</v>
          </cell>
          <cell r="D39">
            <v>2630</v>
          </cell>
          <cell r="F39">
            <v>0</v>
          </cell>
          <cell r="H39">
            <v>0</v>
          </cell>
          <cell r="J39">
            <v>0</v>
          </cell>
          <cell r="L39">
            <v>2630</v>
          </cell>
        </row>
        <row r="40">
          <cell r="C40">
            <v>4450</v>
          </cell>
          <cell r="D40">
            <v>26970</v>
          </cell>
          <cell r="F40">
            <v>0</v>
          </cell>
          <cell r="H40">
            <v>0</v>
          </cell>
          <cell r="J40">
            <v>0</v>
          </cell>
          <cell r="L40">
            <v>26970</v>
          </cell>
        </row>
        <row r="41">
          <cell r="C41">
            <v>4550</v>
          </cell>
          <cell r="D41">
            <v>0</v>
          </cell>
          <cell r="F41">
            <v>0</v>
          </cell>
          <cell r="H41">
            <v>0</v>
          </cell>
          <cell r="J41">
            <v>0</v>
          </cell>
          <cell r="L41">
            <v>0</v>
          </cell>
        </row>
        <row r="42">
          <cell r="C42">
            <v>4600</v>
          </cell>
          <cell r="D42">
            <v>0</v>
          </cell>
          <cell r="F42">
            <v>0</v>
          </cell>
          <cell r="H42">
            <v>0</v>
          </cell>
          <cell r="J42">
            <v>0</v>
          </cell>
          <cell r="L42">
            <v>0</v>
          </cell>
        </row>
        <row r="43">
          <cell r="C43">
            <v>4650</v>
          </cell>
          <cell r="D43">
            <v>13100</v>
          </cell>
          <cell r="F43">
            <v>0</v>
          </cell>
          <cell r="H43">
            <v>0</v>
          </cell>
          <cell r="J43">
            <v>0</v>
          </cell>
          <cell r="L43">
            <v>13100</v>
          </cell>
        </row>
        <row r="44">
          <cell r="C44">
            <v>4700</v>
          </cell>
          <cell r="D44">
            <v>11830</v>
          </cell>
          <cell r="F44">
            <v>0</v>
          </cell>
          <cell r="H44">
            <v>0</v>
          </cell>
          <cell r="J44">
            <v>0</v>
          </cell>
          <cell r="L44">
            <v>11830</v>
          </cell>
        </row>
        <row r="45">
          <cell r="C45">
            <v>4750</v>
          </cell>
          <cell r="D45">
            <v>56100</v>
          </cell>
          <cell r="F45">
            <v>0</v>
          </cell>
          <cell r="H45">
            <v>0</v>
          </cell>
          <cell r="J45">
            <v>0</v>
          </cell>
          <cell r="L45">
            <v>56100</v>
          </cell>
        </row>
        <row r="46">
          <cell r="C46">
            <v>4760</v>
          </cell>
          <cell r="D46">
            <v>27543</v>
          </cell>
          <cell r="F46">
            <v>0</v>
          </cell>
          <cell r="H46">
            <v>0</v>
          </cell>
          <cell r="J46">
            <v>0</v>
          </cell>
          <cell r="L46">
            <v>27543</v>
          </cell>
        </row>
        <row r="47">
          <cell r="C47">
            <v>4780</v>
          </cell>
          <cell r="D47">
            <v>22353</v>
          </cell>
          <cell r="F47">
            <v>0</v>
          </cell>
          <cell r="H47">
            <v>0</v>
          </cell>
          <cell r="J47">
            <v>0</v>
          </cell>
          <cell r="L47">
            <v>22353</v>
          </cell>
        </row>
        <row r="48">
          <cell r="C48">
            <v>4790</v>
          </cell>
          <cell r="D48">
            <v>1050</v>
          </cell>
          <cell r="F48">
            <v>0</v>
          </cell>
          <cell r="H48">
            <v>0</v>
          </cell>
          <cell r="J48">
            <v>0</v>
          </cell>
          <cell r="L48">
            <v>1050</v>
          </cell>
        </row>
        <row r="49">
          <cell r="C49">
            <v>4800</v>
          </cell>
          <cell r="D49">
            <v>12780</v>
          </cell>
          <cell r="F49">
            <v>7600</v>
          </cell>
          <cell r="H49">
            <v>0</v>
          </cell>
          <cell r="J49">
            <v>0</v>
          </cell>
          <cell r="L49">
            <v>20380</v>
          </cell>
        </row>
        <row r="51">
          <cell r="D51">
            <v>587951.9384999999</v>
          </cell>
          <cell r="F51">
            <v>51842.5</v>
          </cell>
          <cell r="H51">
            <v>0</v>
          </cell>
          <cell r="J51">
            <v>0</v>
          </cell>
          <cell r="L51">
            <v>639794.4384999999</v>
          </cell>
        </row>
        <row r="53">
          <cell r="D53">
            <v>32813.06150000007</v>
          </cell>
          <cell r="F53">
            <v>-37767.5</v>
          </cell>
          <cell r="H53">
            <v>0</v>
          </cell>
          <cell r="J53">
            <v>10000</v>
          </cell>
          <cell r="L53">
            <v>5045.561500000069</v>
          </cell>
        </row>
        <row r="56">
          <cell r="C56">
            <v>3750</v>
          </cell>
          <cell r="L5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N37"/>
  <sheetViews>
    <sheetView zoomScale="77" zoomScaleNormal="77" zoomScalePageLayoutView="0" workbookViewId="0" topLeftCell="C1">
      <selection activeCell="J19" sqref="J19"/>
    </sheetView>
  </sheetViews>
  <sheetFormatPr defaultColWidth="9.140625" defaultRowHeight="12.75"/>
  <cols>
    <col min="1" max="1" width="48.140625" style="30" bestFit="1" customWidth="1"/>
    <col min="2" max="2" width="14.00390625" style="84" bestFit="1" customWidth="1"/>
    <col min="3" max="3" width="14.421875" style="84" bestFit="1" customWidth="1"/>
    <col min="4" max="4" width="15.8515625" style="83" bestFit="1" customWidth="1"/>
    <col min="5" max="5" width="2.7109375" style="84" customWidth="1"/>
    <col min="6" max="6" width="13.7109375" style="84" bestFit="1" customWidth="1"/>
    <col min="7" max="7" width="14.00390625" style="84" bestFit="1" customWidth="1"/>
    <col min="8" max="8" width="11.421875" style="85" bestFit="1" customWidth="1"/>
    <col min="9" max="9" width="2.7109375" style="84" customWidth="1"/>
    <col min="10" max="10" width="13.7109375" style="84" bestFit="1" customWidth="1"/>
    <col min="11" max="11" width="14.00390625" style="84" bestFit="1" customWidth="1"/>
    <col min="12" max="12" width="15.8515625" style="85" bestFit="1" customWidth="1"/>
    <col min="13" max="13" width="3.421875" style="30" customWidth="1"/>
    <col min="14" max="14" width="47.421875" style="30" bestFit="1" customWidth="1"/>
    <col min="15" max="16384" width="9.140625" style="30" customWidth="1"/>
  </cols>
  <sheetData>
    <row r="1" spans="1:13" s="2" customFormat="1" ht="12.75">
      <c r="A1" s="35" t="s">
        <v>92</v>
      </c>
      <c r="B1" s="36"/>
      <c r="M1" s="26"/>
    </row>
    <row r="2" spans="1:11" ht="12.75">
      <c r="A2" s="31" t="s">
        <v>90</v>
      </c>
      <c r="B2" s="82">
        <v>2</v>
      </c>
      <c r="C2" s="30"/>
      <c r="G2" s="84" t="s">
        <v>19</v>
      </c>
      <c r="K2" s="84" t="s">
        <v>19</v>
      </c>
    </row>
    <row r="3" spans="1:3" ht="12.75">
      <c r="A3" s="31" t="s">
        <v>197</v>
      </c>
      <c r="B3" s="82">
        <v>500</v>
      </c>
      <c r="C3" s="30"/>
    </row>
    <row r="4" ht="12.75">
      <c r="B4" s="86"/>
    </row>
    <row r="5" spans="1:14" s="2" customFormat="1" ht="12.75">
      <c r="A5" s="39" t="s">
        <v>100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26"/>
      <c r="N5" s="26"/>
    </row>
    <row r="6" spans="2:14" s="33" customFormat="1" ht="25.5">
      <c r="B6" s="87" t="s">
        <v>206</v>
      </c>
      <c r="C6" s="87" t="s">
        <v>203</v>
      </c>
      <c r="D6" s="88" t="s">
        <v>88</v>
      </c>
      <c r="E6" s="89"/>
      <c r="F6" s="87" t="s">
        <v>89</v>
      </c>
      <c r="G6" s="87" t="s">
        <v>91</v>
      </c>
      <c r="H6" s="90" t="s">
        <v>88</v>
      </c>
      <c r="I6" s="89"/>
      <c r="J6" s="87" t="s">
        <v>102</v>
      </c>
      <c r="K6" s="87" t="s">
        <v>207</v>
      </c>
      <c r="L6" s="90" t="s">
        <v>88</v>
      </c>
      <c r="N6" s="32" t="s">
        <v>105</v>
      </c>
    </row>
    <row r="7" ht="12.75">
      <c r="A7" s="32" t="s">
        <v>73</v>
      </c>
    </row>
    <row r="8" spans="1:14" ht="12.75">
      <c r="A8" s="91" t="s">
        <v>1</v>
      </c>
      <c r="B8" s="84">
        <f>+Summary!M5</f>
        <v>435493</v>
      </c>
      <c r="C8" s="84">
        <f>+Summary!P5</f>
        <v>440000</v>
      </c>
      <c r="D8" s="83">
        <f>(C8-B8)/B8</f>
        <v>0.010349190457711146</v>
      </c>
      <c r="F8" s="84">
        <f>C8*($B$2/12)</f>
        <v>73333.33333333333</v>
      </c>
      <c r="G8" s="77">
        <v>96133</v>
      </c>
      <c r="H8" s="85">
        <f>(G8-F8)/F8</f>
        <v>0.31090454545454554</v>
      </c>
      <c r="J8" s="77">
        <v>99545</v>
      </c>
      <c r="K8" s="77">
        <v>96133</v>
      </c>
      <c r="L8" s="106">
        <f>(K8-J8)/J8</f>
        <v>-0.03427595559797077</v>
      </c>
      <c r="N8" s="92">
        <v>3000</v>
      </c>
    </row>
    <row r="9" spans="1:14" ht="12.75">
      <c r="A9" s="91" t="s">
        <v>79</v>
      </c>
      <c r="B9" s="84">
        <f>+Summary!M6+Summary!M7</f>
        <v>49185</v>
      </c>
      <c r="C9" s="84">
        <f>+Summary!P6+Summary!P7</f>
        <v>39000</v>
      </c>
      <c r="D9" s="83">
        <f>(C9-B9)/B9</f>
        <v>-0.20707532784385482</v>
      </c>
      <c r="F9" s="84">
        <f>C9*($B$2/12)</f>
        <v>6500</v>
      </c>
      <c r="G9" s="77">
        <v>0</v>
      </c>
      <c r="H9" s="85">
        <f>(G9-F9)/F9</f>
        <v>-1</v>
      </c>
      <c r="J9" s="77">
        <v>0</v>
      </c>
      <c r="K9" s="77">
        <v>0</v>
      </c>
      <c r="L9" s="85" t="e">
        <f>(K9-J9)/J9</f>
        <v>#DIV/0!</v>
      </c>
      <c r="N9" s="92" t="s">
        <v>108</v>
      </c>
    </row>
    <row r="10" spans="1:14" ht="12.75">
      <c r="A10" s="91" t="s">
        <v>80</v>
      </c>
      <c r="B10" s="84">
        <f>+Summary!M14</f>
        <v>121938</v>
      </c>
      <c r="C10" s="84">
        <f>+Summary!P14</f>
        <v>126000</v>
      </c>
      <c r="D10" s="83">
        <f>(C10-B10)/B10</f>
        <v>0.033312011021994783</v>
      </c>
      <c r="F10" s="84">
        <f>C10*($B$2/12)</f>
        <v>21000</v>
      </c>
      <c r="G10" s="77">
        <v>-3500</v>
      </c>
      <c r="H10" s="85">
        <f>(G10-F10)/F10</f>
        <v>-1.1666666666666667</v>
      </c>
      <c r="J10" s="77">
        <v>5150</v>
      </c>
      <c r="K10" s="77">
        <v>-3500</v>
      </c>
      <c r="L10" s="85">
        <f>(K10-J10)/J10</f>
        <v>-1.6796116504854368</v>
      </c>
      <c r="N10" s="12">
        <v>3450</v>
      </c>
    </row>
    <row r="11" spans="1:14" ht="12.75">
      <c r="A11" s="91" t="s">
        <v>81</v>
      </c>
      <c r="B11" s="84">
        <f>+B12-B8-B9-B10</f>
        <v>50967</v>
      </c>
      <c r="C11" s="84">
        <f>+C12-C8-C9-C10</f>
        <v>50550</v>
      </c>
      <c r="D11" s="83">
        <f>(C11-B11)/B11</f>
        <v>-0.008181764671257873</v>
      </c>
      <c r="F11" s="84">
        <f>C11*($B$2/12)</f>
        <v>8425</v>
      </c>
      <c r="G11" s="77">
        <v>27583</v>
      </c>
      <c r="H11" s="85">
        <f>(G11-F11)/F11</f>
        <v>2.273946587537092</v>
      </c>
      <c r="J11" s="77">
        <v>15538</v>
      </c>
      <c r="K11" s="77">
        <v>27583</v>
      </c>
      <c r="L11" s="85">
        <f>(K11-J11)/J11</f>
        <v>0.7751962929591968</v>
      </c>
      <c r="N11" s="44" t="s">
        <v>109</v>
      </c>
    </row>
    <row r="12" spans="1:14" s="31" customFormat="1" ht="13.5" thickBot="1">
      <c r="A12" s="156" t="s">
        <v>9</v>
      </c>
      <c r="B12" s="98">
        <f>Summary!M20</f>
        <v>657583</v>
      </c>
      <c r="C12" s="98">
        <f>Summary!P20</f>
        <v>655550</v>
      </c>
      <c r="D12" s="99">
        <f>(C12-B12)/B12</f>
        <v>-0.0030916249355594657</v>
      </c>
      <c r="E12" s="98"/>
      <c r="F12" s="98">
        <f>SUM(F8:F11)</f>
        <v>109258.33333333333</v>
      </c>
      <c r="G12" s="98">
        <f>SUM(G8:G11)</f>
        <v>120216</v>
      </c>
      <c r="H12" s="95">
        <f>(G12-F12)/F12</f>
        <v>0.10029135840134243</v>
      </c>
      <c r="I12" s="98"/>
      <c r="J12" s="98">
        <f>SUM(J8:J11)</f>
        <v>120233</v>
      </c>
      <c r="K12" s="98">
        <f>SUM(K8:K11)</f>
        <v>120216</v>
      </c>
      <c r="L12" s="95">
        <f>(K12-J12)/J12</f>
        <v>-0.00014139213028037227</v>
      </c>
      <c r="N12" s="96"/>
    </row>
    <row r="13" spans="4:14" ht="13.5" thickTop="1">
      <c r="D13" s="83" t="s">
        <v>19</v>
      </c>
      <c r="F13" s="84" t="s">
        <v>19</v>
      </c>
      <c r="J13" s="84" t="s">
        <v>19</v>
      </c>
      <c r="N13" s="96"/>
    </row>
    <row r="14" spans="1:14" ht="12.75">
      <c r="A14" s="28" t="s">
        <v>103</v>
      </c>
      <c r="D14" s="83" t="s">
        <v>19</v>
      </c>
      <c r="F14" s="84" t="s">
        <v>19</v>
      </c>
      <c r="J14" s="84" t="s">
        <v>19</v>
      </c>
      <c r="N14" s="96"/>
    </row>
    <row r="15" spans="1:14" ht="12.75">
      <c r="A15" s="30" t="s">
        <v>82</v>
      </c>
      <c r="B15" s="84">
        <f>SUM(Summary!M24:Summary!M27)+Summary!M32</f>
        <v>352613</v>
      </c>
      <c r="C15" s="84">
        <f>SUM(Summary!P24:Summary!P27)+Summary!P32</f>
        <v>371490.15024000005</v>
      </c>
      <c r="D15" s="83">
        <f>(C15-B15)/B15</f>
        <v>0.05353503767586574</v>
      </c>
      <c r="F15" s="84">
        <f>C15*($B$2/12)</f>
        <v>61915.02504000001</v>
      </c>
      <c r="G15" s="77">
        <v>85141</v>
      </c>
      <c r="H15" s="85">
        <f>(G15-F15)/F15</f>
        <v>0.3751266343669396</v>
      </c>
      <c r="J15" s="77">
        <v>65923</v>
      </c>
      <c r="K15" s="77">
        <v>85141</v>
      </c>
      <c r="L15" s="85">
        <f>(K15-J15)/J15</f>
        <v>0.2915219270967644</v>
      </c>
      <c r="N15" s="92" t="s">
        <v>110</v>
      </c>
    </row>
    <row r="16" spans="1:14" ht="12.75">
      <c r="A16" s="30" t="s">
        <v>83</v>
      </c>
      <c r="B16" s="84">
        <f>SUM(Summary!M42:Summary!M45)</f>
        <v>107049</v>
      </c>
      <c r="C16" s="84">
        <f>SUM(Summary!P42:Summary!P45)</f>
        <v>106137</v>
      </c>
      <c r="D16" s="83">
        <f>(C16-B16)/B16</f>
        <v>-0.008519463049631477</v>
      </c>
      <c r="F16" s="84">
        <f>C16*($B$2/12)</f>
        <v>17689.5</v>
      </c>
      <c r="G16" s="77">
        <v>27318</v>
      </c>
      <c r="H16" s="85">
        <f>(G16-F16)/F16</f>
        <v>0.5443059442041889</v>
      </c>
      <c r="J16" s="77">
        <v>10436</v>
      </c>
      <c r="K16" s="77">
        <v>27318</v>
      </c>
      <c r="L16" s="85">
        <f>(K16-J16)/J16</f>
        <v>1.6176696052127253</v>
      </c>
      <c r="N16" s="12" t="s">
        <v>111</v>
      </c>
    </row>
    <row r="17" spans="1:14" ht="12.75">
      <c r="A17" s="30" t="s">
        <v>104</v>
      </c>
      <c r="B17" s="84">
        <f>SUM(Summary!M33:Summary!M36)</f>
        <v>63081</v>
      </c>
      <c r="C17" s="84">
        <f>SUM(Summary!P33:Summary!P36)</f>
        <v>72550</v>
      </c>
      <c r="D17" s="83">
        <f>(C17-B17)/B17</f>
        <v>0.1501085905423186</v>
      </c>
      <c r="F17" s="84">
        <f>C17*($B$2/12)</f>
        <v>12091.666666666666</v>
      </c>
      <c r="G17" s="77">
        <v>6254</v>
      </c>
      <c r="H17" s="85">
        <f>(G17-F17)/F17</f>
        <v>-0.4827842866988284</v>
      </c>
      <c r="J17" s="77">
        <v>10192</v>
      </c>
      <c r="K17" s="77">
        <v>6254</v>
      </c>
      <c r="L17" s="85">
        <f>(K17-J17)/J17</f>
        <v>-0.38638147566718994</v>
      </c>
      <c r="N17" s="12" t="s">
        <v>112</v>
      </c>
    </row>
    <row r="18" spans="1:14" ht="12.75">
      <c r="A18" s="30" t="s">
        <v>81</v>
      </c>
      <c r="B18" s="84">
        <f>+B19-B15-B16-B17</f>
        <v>112849</v>
      </c>
      <c r="C18" s="84">
        <f>+C19-C15-C16-C17</f>
        <v>96850.00000000006</v>
      </c>
      <c r="D18" s="83">
        <f>(C18-B18)/B18</f>
        <v>-0.14177352036792476</v>
      </c>
      <c r="F18" s="84">
        <f>C18*($B$2/12)</f>
        <v>16141.666666666675</v>
      </c>
      <c r="G18" s="77">
        <v>15096</v>
      </c>
      <c r="H18" s="85">
        <f>(G18-F18)/F18</f>
        <v>-0.06478058853897829</v>
      </c>
      <c r="J18" s="77">
        <v>17584</v>
      </c>
      <c r="K18" s="77">
        <v>15096</v>
      </c>
      <c r="L18" s="85">
        <f>(K18-J18)/J18</f>
        <v>-0.14149226569608736</v>
      </c>
      <c r="N18" s="12" t="s">
        <v>113</v>
      </c>
    </row>
    <row r="19" spans="1:14" s="31" customFormat="1" ht="12.75">
      <c r="A19" s="34" t="s">
        <v>20</v>
      </c>
      <c r="B19" s="93">
        <f>+Summary!M48</f>
        <v>635592</v>
      </c>
      <c r="C19" s="93">
        <f>+Summary!P48</f>
        <v>647027.1502400001</v>
      </c>
      <c r="D19" s="94">
        <f>(C19-B19)/B19</f>
        <v>0.017991337587635</v>
      </c>
      <c r="E19" s="93"/>
      <c r="F19" s="93">
        <f>SUM(F15:F18)</f>
        <v>107837.85837333335</v>
      </c>
      <c r="G19" s="93">
        <f>SUM(G15:G18)</f>
        <v>133809</v>
      </c>
      <c r="H19" s="97">
        <f>(G19-F19)/F19</f>
        <v>0.24083510205437197</v>
      </c>
      <c r="I19" s="93"/>
      <c r="J19" s="93">
        <f>SUM(J15:J18)</f>
        <v>104135</v>
      </c>
      <c r="K19" s="93">
        <f>SUM(K15:K18)</f>
        <v>133809</v>
      </c>
      <c r="L19" s="97">
        <f>(K19-J19)/J19</f>
        <v>0.28495702693618863</v>
      </c>
      <c r="N19" s="15"/>
    </row>
    <row r="20" ht="12.75">
      <c r="N20" s="15"/>
    </row>
    <row r="21" spans="1:14" ht="13.5" thickBot="1">
      <c r="A21" s="29" t="s">
        <v>72</v>
      </c>
      <c r="B21" s="98">
        <f>+B12-B19</f>
        <v>21991</v>
      </c>
      <c r="C21" s="98">
        <f>+C12-C19</f>
        <v>8522.849759999895</v>
      </c>
      <c r="D21" s="99"/>
      <c r="E21" s="98"/>
      <c r="F21" s="98">
        <f>+F12-F19</f>
        <v>1420.4749599999777</v>
      </c>
      <c r="G21" s="98">
        <f>+G12-G19</f>
        <v>-13593</v>
      </c>
      <c r="H21" s="100"/>
      <c r="I21" s="98"/>
      <c r="J21" s="98">
        <f>+J12-J19</f>
        <v>16098</v>
      </c>
      <c r="K21" s="98">
        <f>+K12-K19</f>
        <v>-13593</v>
      </c>
      <c r="L21" s="100"/>
      <c r="N21" s="15"/>
    </row>
    <row r="22" ht="13.5" thickTop="1">
      <c r="N22" s="15"/>
    </row>
    <row r="23" ht="12.75">
      <c r="N23" s="15"/>
    </row>
    <row r="24" spans="1:14" s="31" customFormat="1" ht="12.75">
      <c r="A24" s="31" t="s">
        <v>201</v>
      </c>
      <c r="B24" s="101"/>
      <c r="C24" s="101"/>
      <c r="D24" s="102"/>
      <c r="E24" s="101"/>
      <c r="F24" s="101"/>
      <c r="G24" s="101"/>
      <c r="H24" s="103"/>
      <c r="I24" s="101"/>
      <c r="J24" s="101"/>
      <c r="K24" s="101"/>
      <c r="L24" s="103"/>
      <c r="N24" s="104"/>
    </row>
    <row r="25" spans="1:14" ht="12.75">
      <c r="A25" s="105" t="s">
        <v>200</v>
      </c>
      <c r="B25" s="84">
        <f>B8/52</f>
        <v>8374.865384615385</v>
      </c>
      <c r="C25" s="84">
        <f>C8/52</f>
        <v>8461.538461538461</v>
      </c>
      <c r="F25" s="84">
        <f>F8/((DATE(2010,7+$B$2,1)-DATE(2010,7,1))/7)</f>
        <v>8279.569892473117</v>
      </c>
      <c r="G25" s="84">
        <f>G8/((DATE(2010,7+$B$2,1)-DATE(2010,7,1))/7)</f>
        <v>10853.725806451612</v>
      </c>
      <c r="J25" s="84">
        <f>J8/((DATE(2010,7+$B$2,1)-DATE(2010,7,1))/7)</f>
        <v>11238.951612903225</v>
      </c>
      <c r="K25" s="84">
        <f>K8/((DATE(2010,7+$B$2,1)-DATE(2010,7,1))/7)</f>
        <v>10853.725806451612</v>
      </c>
      <c r="N25" s="17"/>
    </row>
    <row r="26" spans="1:14" ht="12.75">
      <c r="A26" s="105" t="s">
        <v>198</v>
      </c>
      <c r="B26" s="84">
        <f>B25/$B$3</f>
        <v>16.74973076923077</v>
      </c>
      <c r="C26" s="84">
        <f>C25/$B$3</f>
        <v>16.923076923076923</v>
      </c>
      <c r="F26" s="84">
        <f>F25/$B$3</f>
        <v>16.559139784946233</v>
      </c>
      <c r="G26" s="84">
        <f>G25/$B$3</f>
        <v>21.707451612903224</v>
      </c>
      <c r="J26" s="84">
        <f>J25/$B$3</f>
        <v>22.47790322580645</v>
      </c>
      <c r="K26" s="84">
        <f>K25/$B$3</f>
        <v>21.707451612903224</v>
      </c>
      <c r="N26" s="17"/>
    </row>
    <row r="27" spans="1:14" ht="12.75">
      <c r="A27" s="105"/>
      <c r="N27" s="17"/>
    </row>
    <row r="28" spans="1:14" ht="12.75">
      <c r="A28" s="30" t="s">
        <v>202</v>
      </c>
      <c r="B28" s="84">
        <f>B19/52</f>
        <v>12222.923076923076</v>
      </c>
      <c r="C28" s="84">
        <f>C19/52</f>
        <v>12442.829812307695</v>
      </c>
      <c r="F28" s="84">
        <f>F19/((DATE(2010,7+$B$2,1)-DATE(2010,7,1))/7)</f>
        <v>12175.242074408603</v>
      </c>
      <c r="G28" s="84">
        <f>G19/((DATE(2010,7+$B$2,1)-DATE(2010,7,1))/7)</f>
        <v>15107.467741935483</v>
      </c>
      <c r="J28" s="84">
        <f>J19/((DATE(2010,7+$B$2,1)-DATE(2010,7,1))/7)</f>
        <v>11757.177419354837</v>
      </c>
      <c r="K28" s="84">
        <f>K19/((DATE(2010,7+$B$2,1)-DATE(2010,7,1))/7)</f>
        <v>15107.467741935483</v>
      </c>
      <c r="N28" s="15"/>
    </row>
    <row r="29" spans="1:14" ht="12.75">
      <c r="A29" s="30" t="s">
        <v>199</v>
      </c>
      <c r="B29" s="84">
        <f>B28/$B$3</f>
        <v>24.44584615384615</v>
      </c>
      <c r="C29" s="84">
        <f>C28/$B$3</f>
        <v>24.88565962461539</v>
      </c>
      <c r="F29" s="84">
        <f>F28/$B$3</f>
        <v>24.350484148817205</v>
      </c>
      <c r="G29" s="84">
        <f>G28/$B$3</f>
        <v>30.214935483870967</v>
      </c>
      <c r="J29" s="84">
        <f>J28/$B$3</f>
        <v>23.514354838709675</v>
      </c>
      <c r="K29" s="84">
        <f>K28/$B$3</f>
        <v>30.214935483870967</v>
      </c>
      <c r="N29" s="15"/>
    </row>
    <row r="30" ht="12.75">
      <c r="N30" s="15"/>
    </row>
    <row r="31" ht="12.75">
      <c r="N31" s="15"/>
    </row>
    <row r="32" ht="12.75">
      <c r="N32" s="15"/>
    </row>
    <row r="33" ht="12.75">
      <c r="N33" s="15"/>
    </row>
    <row r="34" ht="12.75">
      <c r="N34" s="15"/>
    </row>
    <row r="35" ht="12.75">
      <c r="N35" s="15"/>
    </row>
    <row r="36" ht="12.75">
      <c r="N36" s="15"/>
    </row>
    <row r="37" ht="12.75">
      <c r="N37" s="15"/>
    </row>
  </sheetData>
  <sheetProtection/>
  <printOptions/>
  <pageMargins left="0.75" right="0.75" top="1" bottom="1" header="0.5" footer="0.5"/>
  <pageSetup fitToHeight="1" fitToWidth="1" horizontalDpi="600" verticalDpi="600" orientation="landscape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C19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43.7109375" style="2" bestFit="1" customWidth="1"/>
    <col min="2" max="2" width="11.8515625" style="2" bestFit="1" customWidth="1"/>
    <col min="3" max="3" width="25.57421875" style="2" customWidth="1"/>
    <col min="4" max="16384" width="9.140625" style="2" customWidth="1"/>
  </cols>
  <sheetData>
    <row r="1" spans="1:2" ht="12.75">
      <c r="A1" s="35" t="s">
        <v>92</v>
      </c>
      <c r="B1" s="36"/>
    </row>
    <row r="2" spans="1:2" ht="12.75">
      <c r="A2" s="14" t="s">
        <v>94</v>
      </c>
      <c r="B2" s="43">
        <v>40391</v>
      </c>
    </row>
    <row r="3" spans="1:2" ht="12.75">
      <c r="A3" s="14" t="s">
        <v>95</v>
      </c>
      <c r="B3" s="43">
        <v>40421</v>
      </c>
    </row>
    <row r="5" spans="1:3" ht="12.75">
      <c r="A5" s="39" t="s">
        <v>161</v>
      </c>
      <c r="B5" s="40"/>
      <c r="C5" s="40"/>
    </row>
    <row r="6" spans="2:3" ht="12.75">
      <c r="B6" s="38" t="s">
        <v>97</v>
      </c>
      <c r="C6" s="38" t="s">
        <v>98</v>
      </c>
    </row>
    <row r="7" spans="1:2" ht="12.75">
      <c r="A7" s="14" t="s">
        <v>162</v>
      </c>
      <c r="B7" s="25"/>
    </row>
    <row r="8" spans="1:2" ht="12.75">
      <c r="A8" s="2" t="str">
        <f>CONCATENATE("Operating Account Balance (",TEXT(B2,"mmm dd, yyyy"),")")</f>
        <v>Operating Account Balance (Aug 01, 2010)</v>
      </c>
      <c r="B8" s="78">
        <v>62142</v>
      </c>
    </row>
    <row r="9" spans="1:2" ht="12.75">
      <c r="A9" s="2" t="s">
        <v>106</v>
      </c>
      <c r="B9" s="78">
        <v>61036</v>
      </c>
    </row>
    <row r="10" spans="1:2" ht="12.75">
      <c r="A10" s="2" t="s">
        <v>101</v>
      </c>
      <c r="B10" s="78">
        <v>50427</v>
      </c>
    </row>
    <row r="11" spans="1:2" ht="12.75">
      <c r="A11" s="41" t="str">
        <f>CONCATENATE("Operating Account Balance (",TEXT(B3,"mmm dd, yyyy"),")")</f>
        <v>Operating Account Balance (Aug 31, 2010)</v>
      </c>
      <c r="B11" s="42">
        <f>B8+B9-B10</f>
        <v>72751</v>
      </c>
    </row>
    <row r="12" spans="1:2" s="26" customFormat="1" ht="12.75">
      <c r="A12" s="27"/>
      <c r="B12" s="25"/>
    </row>
    <row r="13" spans="1:2" ht="12.75">
      <c r="A13" s="14" t="s">
        <v>93</v>
      </c>
      <c r="B13" s="25"/>
    </row>
    <row r="14" spans="1:2" ht="12.75">
      <c r="A14" s="2" t="str">
        <f>CONCATENATE("Operating Account Balance (",TEXT(B3,"mmm dd, yyyy"),")")</f>
        <v>Operating Account Balance (Aug 31, 2010)</v>
      </c>
      <c r="B14" s="80">
        <f>B11</f>
        <v>72751</v>
      </c>
    </row>
    <row r="15" spans="1:2" ht="12.75">
      <c r="A15" s="2" t="s">
        <v>163</v>
      </c>
      <c r="B15" s="80"/>
    </row>
    <row r="16" spans="1:2" ht="12.75">
      <c r="A16" s="37" t="s">
        <v>86</v>
      </c>
      <c r="B16" s="78"/>
    </row>
    <row r="17" spans="1:2" ht="12.75">
      <c r="A17" s="37" t="s">
        <v>87</v>
      </c>
      <c r="B17" s="78">
        <v>0</v>
      </c>
    </row>
    <row r="18" spans="1:2" ht="12.75">
      <c r="A18" s="37" t="s">
        <v>107</v>
      </c>
      <c r="B18" s="78">
        <v>0</v>
      </c>
    </row>
    <row r="19" spans="1:2" ht="12.75">
      <c r="A19" s="41" t="s">
        <v>164</v>
      </c>
      <c r="B19" s="42">
        <f>B14-B16-B17-B18</f>
        <v>72751</v>
      </c>
    </row>
    <row r="24" s="14" customFormat="1" ht="12.75"/>
    <row r="25" s="3" customFormat="1" ht="12.75"/>
    <row r="26" s="3" customFormat="1" ht="12.75"/>
    <row r="27" s="3" customFormat="1" ht="12.75"/>
  </sheetData>
  <sheetProtection/>
  <printOptions/>
  <pageMargins left="0.75" right="0.75" top="1" bottom="1" header="0.5" footer="0.5"/>
  <pageSetup fitToHeight="1" fitToWidth="1" horizontalDpi="1200" verticalDpi="12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C20"/>
  <sheetViews>
    <sheetView tabSelected="1" zoomScalePageLayoutView="0" workbookViewId="0" topLeftCell="A1">
      <selection activeCell="B26" sqref="B26"/>
    </sheetView>
  </sheetViews>
  <sheetFormatPr defaultColWidth="9.140625" defaultRowHeight="12.75"/>
  <cols>
    <col min="1" max="1" width="43.7109375" style="2" bestFit="1" customWidth="1"/>
    <col min="2" max="2" width="11.28125" style="2" bestFit="1" customWidth="1"/>
    <col min="3" max="3" width="52.7109375" style="2" bestFit="1" customWidth="1"/>
    <col min="4" max="16384" width="9.140625" style="2" customWidth="1"/>
  </cols>
  <sheetData>
    <row r="1" spans="1:2" ht="12.75">
      <c r="A1" s="35" t="s">
        <v>92</v>
      </c>
      <c r="B1" s="36"/>
    </row>
    <row r="2" spans="1:2" ht="12.75">
      <c r="A2" s="14" t="s">
        <v>94</v>
      </c>
      <c r="B2" s="43">
        <v>40391</v>
      </c>
    </row>
    <row r="3" spans="1:2" ht="12.75">
      <c r="A3" s="14" t="s">
        <v>95</v>
      </c>
      <c r="B3" s="43">
        <v>40421</v>
      </c>
    </row>
    <row r="5" spans="1:3" ht="12.75">
      <c r="A5" s="39" t="s">
        <v>99</v>
      </c>
      <c r="B5" s="40"/>
      <c r="C5" s="40"/>
    </row>
    <row r="6" spans="2:3" ht="12.75">
      <c r="B6" s="38" t="s">
        <v>97</v>
      </c>
      <c r="C6" s="38" t="s">
        <v>98</v>
      </c>
    </row>
    <row r="7" spans="1:2" ht="12.75">
      <c r="A7" s="14" t="s">
        <v>96</v>
      </c>
      <c r="B7" s="80"/>
    </row>
    <row r="8" spans="1:2" ht="12.75">
      <c r="A8" s="2" t="str">
        <f>CONCATENATE("Capital Account Balance (",TEXT(B2,"mmm dd, yyyy"),")")</f>
        <v>Capital Account Balance (Aug 01, 2010)</v>
      </c>
      <c r="B8" s="78">
        <v>34792</v>
      </c>
    </row>
    <row r="9" spans="1:2" ht="12.75">
      <c r="A9" s="2" t="s">
        <v>106</v>
      </c>
      <c r="B9" s="78">
        <v>21019</v>
      </c>
    </row>
    <row r="10" spans="1:2" ht="12.75">
      <c r="A10" s="2" t="s">
        <v>101</v>
      </c>
      <c r="B10" s="78">
        <v>16829</v>
      </c>
    </row>
    <row r="11" spans="1:2" ht="12.75">
      <c r="A11" s="41" t="str">
        <f>CONCATENATE("Capital Account Balance (",TEXT(B3,"mmm dd, yyyy"),")")</f>
        <v>Capital Account Balance (Aug 31, 2010)</v>
      </c>
      <c r="B11" s="81">
        <f>B8+B9-B10</f>
        <v>38982</v>
      </c>
    </row>
    <row r="12" spans="1:2" s="26" customFormat="1" ht="12.75">
      <c r="A12" s="27"/>
      <c r="B12" s="80"/>
    </row>
    <row r="13" spans="1:2" ht="12.75">
      <c r="A13" s="14" t="s">
        <v>93</v>
      </c>
      <c r="B13" s="80"/>
    </row>
    <row r="14" spans="1:2" ht="12.75">
      <c r="A14" s="2" t="str">
        <f>CONCATENATE("Capital Account Balance (",TEXT(B3,"mmm dd, yyyy"),")")</f>
        <v>Capital Account Balance (Aug 31, 2010)</v>
      </c>
      <c r="B14" s="80">
        <f>B11</f>
        <v>38982</v>
      </c>
    </row>
    <row r="15" spans="1:2" ht="12.75">
      <c r="A15" s="2" t="s">
        <v>85</v>
      </c>
      <c r="B15" s="80"/>
    </row>
    <row r="16" spans="1:2" ht="12.75">
      <c r="A16" s="37" t="s">
        <v>86</v>
      </c>
      <c r="B16" s="78"/>
    </row>
    <row r="17" spans="1:2" ht="12.75">
      <c r="A17" s="37" t="s">
        <v>87</v>
      </c>
      <c r="B17" s="78"/>
    </row>
    <row r="18" spans="1:3" ht="12.75">
      <c r="A18" s="37" t="s">
        <v>107</v>
      </c>
      <c r="B18" s="78">
        <v>22000</v>
      </c>
      <c r="C18" s="2" t="s">
        <v>208</v>
      </c>
    </row>
    <row r="19" spans="1:2" ht="12.75">
      <c r="A19" s="37" t="s">
        <v>107</v>
      </c>
      <c r="B19" s="78"/>
    </row>
    <row r="20" spans="1:2" ht="12.75">
      <c r="A20" s="41" t="s">
        <v>84</v>
      </c>
      <c r="B20" s="81">
        <f>B14-B16-B17-B18-B19</f>
        <v>16982</v>
      </c>
    </row>
    <row r="24" s="14" customFormat="1" ht="12.75"/>
    <row r="25" s="3" customFormat="1" ht="12.75"/>
    <row r="26" s="3" customFormat="1" ht="12.75"/>
    <row r="27" s="3" customFormat="1" ht="12.75"/>
  </sheetData>
  <sheetProtection/>
  <printOptions/>
  <pageMargins left="0.75" right="0.75" top="1" bottom="1" header="0.5" footer="0.5"/>
  <pageSetup fitToHeight="1" fitToWidth="1" horizontalDpi="1200" verticalDpi="12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2.75"/>
  <cols>
    <col min="1" max="1" width="54.8515625" style="56" bestFit="1" customWidth="1"/>
    <col min="2" max="2" width="16.8515625" style="57" bestFit="1" customWidth="1"/>
    <col min="3" max="3" width="8.00390625" style="58" bestFit="1" customWidth="1"/>
    <col min="4" max="4" width="8.28125" style="58" bestFit="1" customWidth="1"/>
    <col min="5" max="5" width="7.7109375" style="47" bestFit="1" customWidth="1"/>
    <col min="6" max="6" width="32.8515625" style="47" bestFit="1" customWidth="1"/>
    <col min="7" max="16384" width="9.140625" style="47" customWidth="1"/>
  </cols>
  <sheetData>
    <row r="1" spans="1:6" ht="25.5">
      <c r="A1" s="45" t="s">
        <v>114</v>
      </c>
      <c r="B1" s="79" t="s">
        <v>165</v>
      </c>
      <c r="C1" s="46" t="s">
        <v>115</v>
      </c>
      <c r="D1" s="46" t="s">
        <v>157</v>
      </c>
      <c r="E1" s="46" t="s">
        <v>116</v>
      </c>
      <c r="F1" s="46" t="s">
        <v>98</v>
      </c>
    </row>
    <row r="2" spans="1:5" ht="12.75">
      <c r="A2" s="48"/>
      <c r="B2" s="49"/>
      <c r="C2" s="50"/>
      <c r="D2" s="50"/>
      <c r="E2" s="51"/>
    </row>
    <row r="3" spans="1:6" ht="13.5" thickBot="1">
      <c r="A3" s="52" t="s">
        <v>166</v>
      </c>
      <c r="B3" s="53"/>
      <c r="C3" s="54"/>
      <c r="D3" s="54"/>
      <c r="E3" s="55"/>
      <c r="F3" s="55"/>
    </row>
    <row r="4" spans="1:6" ht="12.75">
      <c r="A4" s="56" t="s">
        <v>167</v>
      </c>
      <c r="B4" s="57">
        <v>28000</v>
      </c>
      <c r="C4" s="58" t="s">
        <v>121</v>
      </c>
      <c r="F4" s="47" t="s">
        <v>168</v>
      </c>
    </row>
    <row r="5" ht="12.75">
      <c r="A5" s="56" t="s">
        <v>169</v>
      </c>
    </row>
    <row r="6" spans="1:3" ht="12.75">
      <c r="A6" s="56" t="s">
        <v>170</v>
      </c>
      <c r="B6" s="57">
        <v>222</v>
      </c>
      <c r="C6" s="58" t="s">
        <v>121</v>
      </c>
    </row>
    <row r="7" spans="1:3" ht="12.75">
      <c r="A7" s="56" t="s">
        <v>171</v>
      </c>
      <c r="B7" s="57">
        <v>6000</v>
      </c>
      <c r="C7" s="58" t="s">
        <v>121</v>
      </c>
    </row>
    <row r="8" spans="1:3" ht="12.75">
      <c r="A8" s="56" t="s">
        <v>172</v>
      </c>
      <c r="B8" s="57">
        <v>310</v>
      </c>
      <c r="C8" s="58" t="s">
        <v>121</v>
      </c>
    </row>
    <row r="9" spans="1:3" ht="13.5" customHeight="1">
      <c r="A9" s="56" t="s">
        <v>173</v>
      </c>
      <c r="B9" s="57">
        <v>425</v>
      </c>
      <c r="C9" s="58" t="s">
        <v>121</v>
      </c>
    </row>
    <row r="10" spans="1:6" ht="12.75">
      <c r="A10" s="59" t="s">
        <v>174</v>
      </c>
      <c r="B10" s="60">
        <v>24795</v>
      </c>
      <c r="C10" s="61" t="s">
        <v>121</v>
      </c>
      <c r="D10" s="61"/>
      <c r="E10" s="62"/>
      <c r="F10" s="62" t="s">
        <v>175</v>
      </c>
    </row>
    <row r="11" spans="1:4" s="65" customFormat="1" ht="12.75">
      <c r="A11" s="63" t="s">
        <v>176</v>
      </c>
      <c r="B11" s="64">
        <f>SUM(B4:B10)</f>
        <v>59752</v>
      </c>
      <c r="C11" s="58"/>
      <c r="D11" s="58"/>
    </row>
    <row r="12" spans="1:5" ht="12.75">
      <c r="A12" s="48"/>
      <c r="B12" s="49"/>
      <c r="C12" s="50"/>
      <c r="D12" s="50"/>
      <c r="E12" s="51"/>
    </row>
    <row r="13" spans="1:6" ht="13.5" thickBot="1">
      <c r="A13" s="52" t="s">
        <v>0</v>
      </c>
      <c r="B13" s="53"/>
      <c r="C13" s="54"/>
      <c r="D13" s="54"/>
      <c r="E13" s="55"/>
      <c r="F13" s="55"/>
    </row>
    <row r="14" spans="1:5" ht="12.75">
      <c r="A14" s="56" t="s">
        <v>117</v>
      </c>
      <c r="B14" s="57">
        <v>7250</v>
      </c>
      <c r="C14" s="58">
        <v>2010</v>
      </c>
      <c r="D14" s="58" t="s">
        <v>158</v>
      </c>
      <c r="E14" s="47" t="s">
        <v>118</v>
      </c>
    </row>
    <row r="15" spans="1:5" ht="12.75">
      <c r="A15" s="56" t="s">
        <v>119</v>
      </c>
      <c r="B15" s="57">
        <v>6920</v>
      </c>
      <c r="C15" s="58">
        <v>2010</v>
      </c>
      <c r="D15" s="58" t="s">
        <v>158</v>
      </c>
      <c r="E15" s="47" t="s">
        <v>118</v>
      </c>
    </row>
    <row r="16" spans="1:5" ht="12.75">
      <c r="A16" s="56" t="s">
        <v>120</v>
      </c>
      <c r="B16" s="57">
        <v>7900</v>
      </c>
      <c r="C16" s="58" t="s">
        <v>121</v>
      </c>
      <c r="E16" s="47" t="s">
        <v>122</v>
      </c>
    </row>
    <row r="17" spans="1:6" ht="25.5">
      <c r="A17" s="56" t="s">
        <v>123</v>
      </c>
      <c r="B17" s="57">
        <v>12000</v>
      </c>
      <c r="C17" s="58">
        <v>2010</v>
      </c>
      <c r="E17" s="47" t="s">
        <v>122</v>
      </c>
      <c r="F17" s="56" t="s">
        <v>177</v>
      </c>
    </row>
    <row r="18" spans="1:5" ht="12.75">
      <c r="A18" s="56" t="s">
        <v>124</v>
      </c>
      <c r="B18" s="57">
        <v>1800</v>
      </c>
      <c r="C18" s="58">
        <v>2010</v>
      </c>
      <c r="E18" s="47" t="s">
        <v>122</v>
      </c>
    </row>
    <row r="19" spans="1:5" ht="12.75">
      <c r="A19" s="56" t="s">
        <v>196</v>
      </c>
      <c r="B19" s="57">
        <v>28000</v>
      </c>
      <c r="C19" s="58" t="s">
        <v>121</v>
      </c>
      <c r="E19" s="47" t="s">
        <v>122</v>
      </c>
    </row>
    <row r="20" spans="1:5" ht="12.75">
      <c r="A20" s="56" t="s">
        <v>125</v>
      </c>
      <c r="B20" s="57">
        <v>4930</v>
      </c>
      <c r="C20" s="58">
        <v>2010</v>
      </c>
      <c r="E20" s="47" t="s">
        <v>126</v>
      </c>
    </row>
    <row r="21" spans="1:5" ht="12.75">
      <c r="A21" s="56" t="s">
        <v>127</v>
      </c>
      <c r="B21" s="57">
        <v>1730</v>
      </c>
      <c r="C21" s="58">
        <v>2010</v>
      </c>
      <c r="E21" s="47" t="s">
        <v>126</v>
      </c>
    </row>
    <row r="22" spans="1:5" ht="12.75">
      <c r="A22" s="56" t="s">
        <v>128</v>
      </c>
      <c r="B22" s="57">
        <v>3850</v>
      </c>
      <c r="C22" s="58">
        <v>2010</v>
      </c>
      <c r="E22" s="47" t="s">
        <v>126</v>
      </c>
    </row>
    <row r="23" spans="1:5" ht="12.75">
      <c r="A23" s="56" t="s">
        <v>129</v>
      </c>
      <c r="B23" s="57">
        <v>3780</v>
      </c>
      <c r="C23" s="58">
        <v>2010</v>
      </c>
      <c r="E23" s="47" t="s">
        <v>126</v>
      </c>
    </row>
    <row r="24" spans="1:5" ht="12.75">
      <c r="A24" s="56" t="s">
        <v>130</v>
      </c>
      <c r="B24" s="57">
        <v>12000</v>
      </c>
      <c r="C24" s="58" t="s">
        <v>121</v>
      </c>
      <c r="E24" s="47" t="s">
        <v>131</v>
      </c>
    </row>
    <row r="25" spans="1:6" ht="12.75">
      <c r="A25" s="59" t="s">
        <v>132</v>
      </c>
      <c r="B25" s="60">
        <v>575</v>
      </c>
      <c r="C25" s="61">
        <v>2010</v>
      </c>
      <c r="D25" s="61"/>
      <c r="E25" s="62" t="s">
        <v>133</v>
      </c>
      <c r="F25" s="62"/>
    </row>
    <row r="26" spans="1:4" s="65" customFormat="1" ht="12.75">
      <c r="A26" s="63" t="s">
        <v>134</v>
      </c>
      <c r="B26" s="64">
        <f>SUM(B14:B25)</f>
        <v>90735</v>
      </c>
      <c r="C26" s="58"/>
      <c r="D26" s="58"/>
    </row>
    <row r="27" spans="1:4" s="65" customFormat="1" ht="12.75">
      <c r="A27" s="63"/>
      <c r="B27" s="64"/>
      <c r="C27" s="58"/>
      <c r="D27" s="58"/>
    </row>
    <row r="29" spans="1:6" ht="13.5" thickBot="1">
      <c r="A29" s="52" t="s">
        <v>178</v>
      </c>
      <c r="B29" s="53"/>
      <c r="C29" s="54"/>
      <c r="D29" s="54"/>
      <c r="E29" s="55"/>
      <c r="F29" s="55"/>
    </row>
    <row r="30" spans="1:5" ht="12.75">
      <c r="A30" s="56" t="s">
        <v>179</v>
      </c>
      <c r="B30" s="57">
        <v>2400</v>
      </c>
      <c r="C30" s="58">
        <v>2010</v>
      </c>
      <c r="E30" s="47" t="s">
        <v>118</v>
      </c>
    </row>
    <row r="31" spans="1:5" ht="12.75">
      <c r="A31" s="56" t="s">
        <v>180</v>
      </c>
      <c r="B31" s="57">
        <v>29500</v>
      </c>
      <c r="C31" s="58">
        <v>2010</v>
      </c>
      <c r="D31" s="58" t="s">
        <v>158</v>
      </c>
      <c r="E31" s="47" t="s">
        <v>118</v>
      </c>
    </row>
    <row r="32" spans="1:6" ht="12.75">
      <c r="A32" s="59" t="s">
        <v>181</v>
      </c>
      <c r="B32" s="60">
        <v>57500</v>
      </c>
      <c r="C32" s="61" t="s">
        <v>121</v>
      </c>
      <c r="D32" s="61"/>
      <c r="E32" s="62" t="s">
        <v>118</v>
      </c>
      <c r="F32" s="62" t="s">
        <v>182</v>
      </c>
    </row>
    <row r="33" spans="1:4" s="65" customFormat="1" ht="12.75">
      <c r="A33" s="63" t="s">
        <v>183</v>
      </c>
      <c r="B33" s="64">
        <f>SUM(B30:B32)</f>
        <v>89400</v>
      </c>
      <c r="C33" s="58"/>
      <c r="D33" s="58"/>
    </row>
    <row r="35" spans="1:6" ht="13.5" thickBot="1">
      <c r="A35" s="52" t="s">
        <v>135</v>
      </c>
      <c r="B35" s="53"/>
      <c r="C35" s="54"/>
      <c r="D35" s="54"/>
      <c r="E35" s="55"/>
      <c r="F35" s="55"/>
    </row>
    <row r="36" spans="1:5" ht="12.75">
      <c r="A36" s="56" t="s">
        <v>136</v>
      </c>
      <c r="B36" s="57">
        <v>53000</v>
      </c>
      <c r="C36" s="58" t="s">
        <v>121</v>
      </c>
      <c r="E36" s="47" t="s">
        <v>122</v>
      </c>
    </row>
    <row r="37" spans="1:5" ht="12.75">
      <c r="A37" s="56" t="s">
        <v>137</v>
      </c>
      <c r="B37" s="57">
        <v>71750</v>
      </c>
      <c r="C37" s="58" t="s">
        <v>121</v>
      </c>
      <c r="E37" s="47" t="s">
        <v>138</v>
      </c>
    </row>
    <row r="38" spans="1:5" ht="12.75">
      <c r="A38" s="56" t="s">
        <v>139</v>
      </c>
      <c r="B38" s="57">
        <v>6880</v>
      </c>
      <c r="C38" s="58" t="s">
        <v>121</v>
      </c>
      <c r="E38" s="47" t="s">
        <v>140</v>
      </c>
    </row>
    <row r="39" spans="1:6" ht="12.75">
      <c r="A39" s="56" t="s">
        <v>141</v>
      </c>
      <c r="B39" s="57">
        <v>50000</v>
      </c>
      <c r="C39" s="58" t="s">
        <v>121</v>
      </c>
      <c r="E39" s="47" t="s">
        <v>118</v>
      </c>
      <c r="F39" s="47" t="s">
        <v>184</v>
      </c>
    </row>
    <row r="40" spans="1:6" ht="12.75">
      <c r="A40" s="59" t="s">
        <v>142</v>
      </c>
      <c r="B40" s="60">
        <v>4880</v>
      </c>
      <c r="C40" s="61" t="s">
        <v>121</v>
      </c>
      <c r="D40" s="61"/>
      <c r="E40" s="62" t="s">
        <v>140</v>
      </c>
      <c r="F40" s="62"/>
    </row>
    <row r="41" spans="1:4" s="65" customFormat="1" ht="12.75">
      <c r="A41" s="63" t="s">
        <v>143</v>
      </c>
      <c r="B41" s="64">
        <f>SUM(B36:B40)</f>
        <v>186510</v>
      </c>
      <c r="C41" s="66"/>
      <c r="D41" s="66"/>
    </row>
    <row r="42" spans="1:4" s="65" customFormat="1" ht="13.5" customHeight="1">
      <c r="A42" s="63"/>
      <c r="B42" s="64"/>
      <c r="C42" s="66"/>
      <c r="D42" s="66"/>
    </row>
    <row r="44" spans="1:6" s="65" customFormat="1" ht="13.5" thickBot="1">
      <c r="A44" s="52" t="s">
        <v>144</v>
      </c>
      <c r="B44" s="67" t="s">
        <v>19</v>
      </c>
      <c r="C44" s="54"/>
      <c r="D44" s="54"/>
      <c r="E44" s="68"/>
      <c r="F44" s="68"/>
    </row>
    <row r="45" spans="1:6" ht="12.75">
      <c r="A45" s="69" t="s">
        <v>185</v>
      </c>
      <c r="B45" s="70">
        <v>20000</v>
      </c>
      <c r="C45" s="71" t="s">
        <v>121</v>
      </c>
      <c r="D45" s="71"/>
      <c r="E45" s="72"/>
      <c r="F45" s="72" t="s">
        <v>186</v>
      </c>
    </row>
    <row r="46" spans="1:4" s="65" customFormat="1" ht="12.75">
      <c r="A46" s="63" t="s">
        <v>145</v>
      </c>
      <c r="B46" s="64">
        <f>B45</f>
        <v>20000</v>
      </c>
      <c r="C46" s="66"/>
      <c r="D46" s="66"/>
    </row>
    <row r="47" spans="1:4" s="65" customFormat="1" ht="12.75">
      <c r="A47" s="63"/>
      <c r="B47" s="64"/>
      <c r="C47" s="66"/>
      <c r="D47" s="66"/>
    </row>
    <row r="48" spans="1:4" s="65" customFormat="1" ht="12.75">
      <c r="A48" s="63"/>
      <c r="B48" s="64"/>
      <c r="C48" s="66"/>
      <c r="D48" s="66"/>
    </row>
    <row r="49" spans="1:6" s="65" customFormat="1" ht="13.5" thickBot="1">
      <c r="A49" s="52" t="s">
        <v>187</v>
      </c>
      <c r="B49" s="67" t="s">
        <v>19</v>
      </c>
      <c r="C49" s="54"/>
      <c r="D49" s="54"/>
      <c r="E49" s="68"/>
      <c r="F49" s="68"/>
    </row>
    <row r="50" spans="1:6" ht="12.75">
      <c r="A50" s="56" t="s">
        <v>188</v>
      </c>
      <c r="B50" s="57">
        <v>168000</v>
      </c>
      <c r="C50" s="58" t="s">
        <v>121</v>
      </c>
      <c r="F50" s="47" t="s">
        <v>189</v>
      </c>
    </row>
    <row r="51" spans="1:6" ht="12.75">
      <c r="A51" s="56" t="s">
        <v>190</v>
      </c>
      <c r="B51" s="57">
        <v>4600</v>
      </c>
      <c r="C51" s="58" t="s">
        <v>121</v>
      </c>
      <c r="F51" s="47" t="s">
        <v>189</v>
      </c>
    </row>
    <row r="52" spans="1:6" ht="12.75">
      <c r="A52" s="56" t="s">
        <v>191</v>
      </c>
      <c r="B52" s="57">
        <v>0</v>
      </c>
      <c r="C52" s="58" t="s">
        <v>121</v>
      </c>
      <c r="F52" s="47" t="s">
        <v>192</v>
      </c>
    </row>
    <row r="53" spans="1:6" ht="12.75" customHeight="1">
      <c r="A53" s="56" t="s">
        <v>193</v>
      </c>
      <c r="B53" s="57">
        <v>0</v>
      </c>
      <c r="C53" s="58" t="s">
        <v>121</v>
      </c>
      <c r="F53" s="47" t="s">
        <v>192</v>
      </c>
    </row>
    <row r="54" spans="1:6" ht="12.75">
      <c r="A54" s="59" t="s">
        <v>194</v>
      </c>
      <c r="B54" s="60">
        <v>0</v>
      </c>
      <c r="C54" s="61" t="s">
        <v>121</v>
      </c>
      <c r="D54" s="61"/>
      <c r="E54" s="62"/>
      <c r="F54" s="62" t="s">
        <v>192</v>
      </c>
    </row>
    <row r="55" spans="1:4" s="65" customFormat="1" ht="12.75">
      <c r="A55" s="63" t="s">
        <v>145</v>
      </c>
      <c r="B55" s="64">
        <f>SUM(B50:B54)</f>
        <v>172600</v>
      </c>
      <c r="C55" s="66"/>
      <c r="D55" s="66"/>
    </row>
    <row r="56" spans="1:4" s="65" customFormat="1" ht="12.75">
      <c r="A56" s="63"/>
      <c r="B56" s="64"/>
      <c r="C56" s="66"/>
      <c r="D56" s="66"/>
    </row>
    <row r="57" spans="1:2" ht="12.75">
      <c r="A57" s="63" t="s">
        <v>146</v>
      </c>
      <c r="B57" s="64">
        <f>SUM(B55,B46,B41,B33,B26,B11)</f>
        <v>618997</v>
      </c>
    </row>
    <row r="58" spans="1:2" ht="12.75">
      <c r="A58" s="63"/>
      <c r="B58" s="64"/>
    </row>
    <row r="59" spans="1:2" ht="12.75">
      <c r="A59" s="63" t="s">
        <v>147</v>
      </c>
      <c r="B59" s="64">
        <f>SUM(B31,B30,B25,B23,B22,B21,B20,B18,B17,B15,B14)</f>
        <v>74735</v>
      </c>
    </row>
    <row r="60" spans="1:2" ht="12.75">
      <c r="A60" s="73" t="s">
        <v>159</v>
      </c>
      <c r="B60" s="74">
        <f>SUMIF(D1:D55,"Complete",B1:B55)</f>
        <v>43670</v>
      </c>
    </row>
    <row r="61" spans="1:2" ht="12.75">
      <c r="A61" s="63" t="s">
        <v>160</v>
      </c>
      <c r="B61" s="64">
        <f>B59-B60</f>
        <v>31065</v>
      </c>
    </row>
    <row r="64" spans="1:2" ht="12.75">
      <c r="A64" s="65" t="s">
        <v>148</v>
      </c>
      <c r="B64" s="47"/>
    </row>
    <row r="65" spans="1:2" ht="12.75">
      <c r="A65" s="47" t="s">
        <v>122</v>
      </c>
      <c r="B65" s="47" t="s">
        <v>149</v>
      </c>
    </row>
    <row r="66" spans="1:2" ht="12.75">
      <c r="A66" s="47" t="s">
        <v>126</v>
      </c>
      <c r="B66" s="47" t="s">
        <v>150</v>
      </c>
    </row>
    <row r="67" spans="1:2" ht="12.75">
      <c r="A67" s="47" t="s">
        <v>133</v>
      </c>
      <c r="B67" s="47" t="s">
        <v>195</v>
      </c>
    </row>
    <row r="68" spans="1:2" ht="12.75">
      <c r="A68" s="47" t="s">
        <v>140</v>
      </c>
      <c r="B68" s="47" t="s">
        <v>151</v>
      </c>
    </row>
    <row r="69" spans="1:2" ht="12.75">
      <c r="A69" s="47" t="s">
        <v>152</v>
      </c>
      <c r="B69" s="47" t="s">
        <v>153</v>
      </c>
    </row>
    <row r="70" spans="1:2" ht="12.75">
      <c r="A70" s="47" t="s">
        <v>154</v>
      </c>
      <c r="B70" s="47" t="s">
        <v>155</v>
      </c>
    </row>
    <row r="71" spans="1:6" s="58" customFormat="1" ht="12.75">
      <c r="A71" s="47" t="s">
        <v>131</v>
      </c>
      <c r="B71" s="47" t="s">
        <v>156</v>
      </c>
      <c r="E71" s="47"/>
      <c r="F71" s="47"/>
    </row>
  </sheetData>
  <sheetProtection/>
  <conditionalFormatting sqref="C30:D65536 C24:D28 C13:D19 C12:E12 C10:D11 C6:C9 C1:E2 C3:D4 F1">
    <cfRule type="cellIs" priority="3" dxfId="1" operator="equal" stopIfTrue="1">
      <formula>"Medium"</formula>
    </cfRule>
    <cfRule type="cellIs" priority="4" dxfId="0" operator="equal" stopIfTrue="1">
      <formula>"High"</formula>
    </cfRule>
  </conditionalFormatting>
  <printOptions/>
  <pageMargins left="0.7" right="0.7" top="0.75" bottom="0.75" header="0.3" footer="0.3"/>
  <pageSetup fitToHeight="1" fitToWidth="1" horizontalDpi="600" verticalDpi="600" orientation="portrait" scale="71" r:id="rId1"/>
  <rowBreaks count="1" manualBreakCount="1">
    <brk id="6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108"/>
  <sheetViews>
    <sheetView zoomScalePageLayoutView="0" workbookViewId="0" topLeftCell="A1">
      <pane xSplit="2" ySplit="1" topLeftCell="H35" activePane="bottomRight" state="frozen"/>
      <selection pane="topLeft" activeCell="A1" sqref="A1"/>
      <selection pane="topRight" activeCell="C1" sqref="C1"/>
      <selection pane="bottomLeft" activeCell="A2" sqref="A2"/>
      <selection pane="bottomRight" activeCell="P5" sqref="P5"/>
    </sheetView>
  </sheetViews>
  <sheetFormatPr defaultColWidth="9.140625" defaultRowHeight="12.75"/>
  <cols>
    <col min="1" max="1" width="7.28125" style="2" customWidth="1"/>
    <col min="2" max="2" width="39.7109375" style="2" customWidth="1"/>
    <col min="3" max="3" width="2.28125" style="3" customWidth="1"/>
    <col min="4" max="4" width="14.140625" style="111" bestFit="1" customWidth="1"/>
    <col min="5" max="5" width="7.28125" style="112" bestFit="1" customWidth="1"/>
    <col min="6" max="6" width="2.28125" style="5" customWidth="1"/>
    <col min="7" max="7" width="14.421875" style="111" bestFit="1" customWidth="1"/>
    <col min="8" max="8" width="7.28125" style="112" bestFit="1" customWidth="1"/>
    <col min="9" max="9" width="2.28125" style="5" customWidth="1"/>
    <col min="10" max="10" width="14.00390625" style="111" bestFit="1" customWidth="1"/>
    <col min="11" max="11" width="7.28125" style="112" bestFit="1" customWidth="1"/>
    <col min="12" max="12" width="2.28125" style="5" customWidth="1"/>
    <col min="13" max="13" width="14.421875" style="111" bestFit="1" customWidth="1"/>
    <col min="14" max="14" width="7.28125" style="112" bestFit="1" customWidth="1"/>
    <col min="15" max="15" width="2.28125" style="5" customWidth="1"/>
    <col min="16" max="16" width="14.421875" style="111" bestFit="1" customWidth="1"/>
    <col min="17" max="17" width="7.28125" style="112" bestFit="1" customWidth="1"/>
    <col min="18" max="18" width="2.28125" style="5" customWidth="1"/>
    <col min="19" max="19" width="14.7109375" style="111" bestFit="1" customWidth="1"/>
    <col min="20" max="20" width="14.00390625" style="145" bestFit="1" customWidth="1"/>
    <col min="21" max="21" width="2.28125" style="5" customWidth="1"/>
    <col min="22" max="22" width="14.421875" style="111" bestFit="1" customWidth="1"/>
    <col min="23" max="23" width="13.00390625" style="145" bestFit="1" customWidth="1"/>
    <col min="24" max="16384" width="9.140625" style="2" customWidth="1"/>
  </cols>
  <sheetData>
    <row r="1" spans="4:23" s="137" customFormat="1" ht="25.5">
      <c r="D1" s="138" t="s">
        <v>76</v>
      </c>
      <c r="E1" s="140" t="s">
        <v>74</v>
      </c>
      <c r="F1" s="139"/>
      <c r="G1" s="138" t="s">
        <v>75</v>
      </c>
      <c r="H1" s="140" t="s">
        <v>74</v>
      </c>
      <c r="I1" s="139"/>
      <c r="J1" s="138" t="s">
        <v>77</v>
      </c>
      <c r="K1" s="140" t="s">
        <v>74</v>
      </c>
      <c r="L1" s="139"/>
      <c r="M1" s="138" t="s">
        <v>206</v>
      </c>
      <c r="N1" s="140" t="s">
        <v>74</v>
      </c>
      <c r="O1" s="139"/>
      <c r="P1" s="138" t="s">
        <v>203</v>
      </c>
      <c r="Q1" s="140" t="s">
        <v>74</v>
      </c>
      <c r="R1" s="139"/>
      <c r="S1" s="141" t="s">
        <v>42</v>
      </c>
      <c r="T1" s="142" t="s">
        <v>41</v>
      </c>
      <c r="U1" s="139"/>
      <c r="V1" s="141" t="s">
        <v>204</v>
      </c>
      <c r="W1" s="142" t="s">
        <v>205</v>
      </c>
    </row>
    <row r="2" spans="3:23" s="24" customFormat="1" ht="14.25">
      <c r="C2" s="107"/>
      <c r="D2" s="108"/>
      <c r="E2" s="149"/>
      <c r="F2" s="109"/>
      <c r="G2" s="108"/>
      <c r="H2" s="149"/>
      <c r="I2" s="109"/>
      <c r="J2" s="108"/>
      <c r="K2" s="110"/>
      <c r="L2" s="109"/>
      <c r="M2" s="108"/>
      <c r="N2" s="110"/>
      <c r="O2" s="109"/>
      <c r="P2" s="108"/>
      <c r="Q2" s="110"/>
      <c r="R2" s="109"/>
      <c r="S2" s="143"/>
      <c r="T2" s="144"/>
      <c r="U2" s="109"/>
      <c r="V2" s="143"/>
      <c r="W2" s="144"/>
    </row>
    <row r="3" ht="12.75">
      <c r="A3" s="14" t="s">
        <v>73</v>
      </c>
    </row>
    <row r="5" spans="1:23" ht="12.75">
      <c r="A5" s="1">
        <v>3000</v>
      </c>
      <c r="B5" s="12" t="s">
        <v>1</v>
      </c>
      <c r="D5" s="111">
        <v>369446.55</v>
      </c>
      <c r="E5" s="112">
        <f aca="true" t="shared" si="0" ref="E5:E18">D5/$D$20</f>
        <v>0.6407641351468732</v>
      </c>
      <c r="G5" s="111">
        <v>411185.19</v>
      </c>
      <c r="H5" s="112">
        <f aca="true" t="shared" si="1" ref="H5:H18">G5/$G$20</f>
        <v>0.6969249013320831</v>
      </c>
      <c r="J5" s="111">
        <f>IF(ISERROR(VLOOKUP(A5,'[4]FY2009 Actual'!$C$8:$L$54,10,FALSE)),0,VLOOKUP(A5,'[4]FY2009 Actual'!$C$8:$L$54,10,FALSE))</f>
        <v>431672</v>
      </c>
      <c r="K5" s="112">
        <f>J5/$J$20</f>
        <v>0.6830863402765379</v>
      </c>
      <c r="M5" s="111">
        <v>435493</v>
      </c>
      <c r="N5" s="112">
        <f aca="true" t="shared" si="2" ref="N5:N12">M5/$M$20</f>
        <v>0.6622631667789466</v>
      </c>
      <c r="P5" s="111">
        <f>IF(ISERROR(VLOOKUP(A5,'[4]FY2011 Budget'!$C$8:$L$54,10,FALSE)),0,VLOOKUP(A5,'[4]FY2011 Budget'!$C$8:$L$54,10,FALSE))</f>
        <v>440000</v>
      </c>
      <c r="Q5" s="112">
        <f>P5/$P$20</f>
        <v>0.6711921287468537</v>
      </c>
      <c r="S5" s="111">
        <f>M5-J5</f>
        <v>3821</v>
      </c>
      <c r="T5" s="145">
        <f>(M5-J5)/J5</f>
        <v>0.008851628087992735</v>
      </c>
      <c r="V5" s="111">
        <f aca="true" t="shared" si="3" ref="V5:V17">P5-M5</f>
        <v>4507</v>
      </c>
      <c r="W5" s="145">
        <f aca="true" t="shared" si="4" ref="W5:W15">(P5-M5)/M5</f>
        <v>0.010349190457711146</v>
      </c>
    </row>
    <row r="6" spans="1:23" ht="12.75">
      <c r="A6" s="1">
        <v>3020</v>
      </c>
      <c r="B6" s="12" t="s">
        <v>2</v>
      </c>
      <c r="D6" s="111">
        <v>36477.09</v>
      </c>
      <c r="E6" s="112">
        <f t="shared" si="0"/>
        <v>0.06326547379187776</v>
      </c>
      <c r="G6" s="111">
        <v>39083.75</v>
      </c>
      <c r="H6" s="112">
        <f t="shared" si="1"/>
        <v>0.0662437249075965</v>
      </c>
      <c r="J6" s="111">
        <f>IF(ISERROR(VLOOKUP(A6,'[4]FY2009 Actual'!$C$8:$L$54,10,FALSE)),0,VLOOKUP(A6,'[4]FY2009 Actual'!$C$8:$L$54,10,FALSE))</f>
        <v>39595</v>
      </c>
      <c r="K6" s="112">
        <f aca="true" t="shared" si="5" ref="K6:K18">J6/$J$20</f>
        <v>0.0626559138495189</v>
      </c>
      <c r="M6" s="111">
        <v>27649</v>
      </c>
      <c r="N6" s="112">
        <f t="shared" si="2"/>
        <v>0.04204640326772438</v>
      </c>
      <c r="P6" s="111">
        <f>IF(ISERROR(VLOOKUP(A6,'[4]FY2011 Budget'!$C$8:$L$54,10,FALSE)),0,VLOOKUP(A6,'[4]FY2011 Budget'!$C$8:$L$54,10,FALSE))</f>
        <v>22000</v>
      </c>
      <c r="Q6" s="112">
        <f aca="true" t="shared" si="6" ref="Q6:Q18">P6/$P$20</f>
        <v>0.03355960643734269</v>
      </c>
      <c r="S6" s="111">
        <f aca="true" t="shared" si="7" ref="S6:S18">M6-J6</f>
        <v>-11946</v>
      </c>
      <c r="T6" s="145">
        <f aca="true" t="shared" si="8" ref="T6:T20">(M6-J6)/J6</f>
        <v>-0.30170476070210883</v>
      </c>
      <c r="V6" s="111">
        <f t="shared" si="3"/>
        <v>-5649</v>
      </c>
      <c r="W6" s="145">
        <f t="shared" si="4"/>
        <v>-0.20431118666136208</v>
      </c>
    </row>
    <row r="7" spans="1:23" ht="12.75">
      <c r="A7" s="1">
        <v>3030</v>
      </c>
      <c r="B7" s="12" t="s">
        <v>3</v>
      </c>
      <c r="D7" s="111">
        <v>36085.1</v>
      </c>
      <c r="E7" s="112">
        <f t="shared" si="0"/>
        <v>0.06258561053875976</v>
      </c>
      <c r="G7" s="111">
        <v>25938.17</v>
      </c>
      <c r="H7" s="112">
        <f t="shared" si="1"/>
        <v>0.043963053649828186</v>
      </c>
      <c r="J7" s="111">
        <f>IF(ISERROR(VLOOKUP(A7,'[4]FY2009 Actual'!$C$8:$L$54,10,FALSE)),0,VLOOKUP(A7,'[4]FY2009 Actual'!$C$8:$L$54,10,FALSE))</f>
        <v>31186</v>
      </c>
      <c r="K7" s="112">
        <f t="shared" si="5"/>
        <v>0.04934934535449163</v>
      </c>
      <c r="M7" s="111">
        <v>21536</v>
      </c>
      <c r="N7" s="112">
        <f t="shared" si="2"/>
        <v>0.03275023837295064</v>
      </c>
      <c r="P7" s="111">
        <f>IF(ISERROR(VLOOKUP(A7,'[4]FY2011 Budget'!$C$8:$L$54,10,FALSE)),0,VLOOKUP(A7,'[4]FY2011 Budget'!$C$8:$L$54,10,FALSE))</f>
        <v>17000</v>
      </c>
      <c r="Q7" s="112">
        <f t="shared" si="6"/>
        <v>0.025932423156128443</v>
      </c>
      <c r="S7" s="111">
        <f t="shared" si="7"/>
        <v>-9650</v>
      </c>
      <c r="T7" s="145">
        <f t="shared" si="8"/>
        <v>-0.3094337202590906</v>
      </c>
      <c r="V7" s="111">
        <f t="shared" si="3"/>
        <v>-4536</v>
      </c>
      <c r="W7" s="145">
        <f t="shared" si="4"/>
        <v>-0.21062407132243685</v>
      </c>
    </row>
    <row r="8" spans="1:23" ht="12.75">
      <c r="A8" s="1">
        <v>3040</v>
      </c>
      <c r="B8" s="12" t="s">
        <v>21</v>
      </c>
      <c r="D8" s="111">
        <v>10503.26</v>
      </c>
      <c r="E8" s="112">
        <f t="shared" si="0"/>
        <v>0.018216741528978272</v>
      </c>
      <c r="G8" s="111">
        <v>8483.69</v>
      </c>
      <c r="H8" s="112">
        <f t="shared" si="1"/>
        <v>0.014379153140661462</v>
      </c>
      <c r="J8" s="111">
        <f>IF(ISERROR(VLOOKUP(A8,'[4]FY2009 Actual'!$C$8:$L$54,10,FALSE)),0,VLOOKUP(A8,'[4]FY2009 Actual'!$C$8:$L$54,10,FALSE))</f>
        <v>10146</v>
      </c>
      <c r="K8" s="112">
        <f t="shared" si="5"/>
        <v>0.016055231769597642</v>
      </c>
      <c r="M8" s="111">
        <v>7299</v>
      </c>
      <c r="N8" s="112">
        <f t="shared" si="2"/>
        <v>0.011099739500564948</v>
      </c>
      <c r="P8" s="111">
        <f>IF(ISERROR(VLOOKUP(A8,'[4]FY2011 Budget'!$C$8:$L$54,10,FALSE)),0,VLOOKUP(A8,'[4]FY2011 Budget'!$C$8:$L$54,10,FALSE))</f>
        <v>8000</v>
      </c>
      <c r="Q8" s="112">
        <f t="shared" si="6"/>
        <v>0.012203493249942797</v>
      </c>
      <c r="S8" s="111">
        <f t="shared" si="7"/>
        <v>-2847</v>
      </c>
      <c r="T8" s="145">
        <f t="shared" si="8"/>
        <v>-0.2806031933767002</v>
      </c>
      <c r="V8" s="111">
        <f t="shared" si="3"/>
        <v>701</v>
      </c>
      <c r="W8" s="145">
        <f t="shared" si="4"/>
        <v>0.09604055350047952</v>
      </c>
    </row>
    <row r="9" spans="1:23" ht="12.75">
      <c r="A9" s="15">
        <v>3100</v>
      </c>
      <c r="B9" s="12" t="s">
        <v>4</v>
      </c>
      <c r="D9" s="111">
        <v>17241.5</v>
      </c>
      <c r="E9" s="112">
        <f t="shared" si="0"/>
        <v>0.029903472738166903</v>
      </c>
      <c r="G9" s="111">
        <v>15339.25</v>
      </c>
      <c r="H9" s="112">
        <f t="shared" si="1"/>
        <v>0.025998760540860325</v>
      </c>
      <c r="J9" s="111">
        <f>IF(ISERROR(VLOOKUP(A9,'[4]FY2009 Actual'!$C$8:$L$54,10,FALSE)),0,VLOOKUP(A9,'[4]FY2009 Actual'!$C$8:$L$54,10,FALSE))</f>
        <v>15963</v>
      </c>
      <c r="K9" s="112">
        <f t="shared" si="5"/>
        <v>0.025260168020706405</v>
      </c>
      <c r="M9" s="111">
        <v>15860</v>
      </c>
      <c r="N9" s="112">
        <f t="shared" si="2"/>
        <v>0.024118628370867253</v>
      </c>
      <c r="P9" s="111">
        <f>IF(ISERROR(VLOOKUP(A9,'[4]FY2011 Budget'!$C$8:$L$54,10,FALSE)),0,VLOOKUP(A9,'[4]FY2011 Budget'!$C$8:$L$54,10,FALSE))</f>
        <v>16700</v>
      </c>
      <c r="Q9" s="112">
        <f t="shared" si="6"/>
        <v>0.025474792159255587</v>
      </c>
      <c r="S9" s="111">
        <f t="shared" si="7"/>
        <v>-103</v>
      </c>
      <c r="T9" s="145">
        <f t="shared" si="8"/>
        <v>-0.006452421224080687</v>
      </c>
      <c r="V9" s="111">
        <f t="shared" si="3"/>
        <v>840</v>
      </c>
      <c r="W9" s="145">
        <f t="shared" si="4"/>
        <v>0.05296343001261034</v>
      </c>
    </row>
    <row r="10" spans="1:23" ht="12.75">
      <c r="A10" s="15">
        <v>3110</v>
      </c>
      <c r="B10" s="12" t="s">
        <v>5</v>
      </c>
      <c r="D10" s="111">
        <v>1045</v>
      </c>
      <c r="E10" s="112">
        <f t="shared" si="0"/>
        <v>0.0018124367956027267</v>
      </c>
      <c r="G10" s="111">
        <v>1015</v>
      </c>
      <c r="H10" s="112">
        <f t="shared" si="1"/>
        <v>0.0017203410824501348</v>
      </c>
      <c r="J10" s="111">
        <f>IF(ISERROR(VLOOKUP(A10,'[4]FY2009 Actual'!$C$8:$L$54,10,FALSE)),0,VLOOKUP(A10,'[4]FY2009 Actual'!$C$8:$L$54,10,FALSE))</f>
        <v>960</v>
      </c>
      <c r="K10" s="112">
        <f t="shared" si="5"/>
        <v>0.0015191230533031477</v>
      </c>
      <c r="M10" s="111">
        <v>535</v>
      </c>
      <c r="N10" s="112">
        <f t="shared" si="2"/>
        <v>0.000813585509357754</v>
      </c>
      <c r="P10" s="111">
        <f>IF(ISERROR(VLOOKUP(A10,'[4]FY2011 Budget'!$C$8:$L$54,10,FALSE)),0,VLOOKUP(A10,'[4]FY2011 Budget'!$C$8:$L$54,10,FALSE))</f>
        <v>500</v>
      </c>
      <c r="Q10" s="112">
        <f t="shared" si="6"/>
        <v>0.0007627183281214248</v>
      </c>
      <c r="S10" s="111">
        <f t="shared" si="7"/>
        <v>-425</v>
      </c>
      <c r="T10" s="145">
        <f t="shared" si="8"/>
        <v>-0.4427083333333333</v>
      </c>
      <c r="V10" s="111">
        <f t="shared" si="3"/>
        <v>-35</v>
      </c>
      <c r="W10" s="145">
        <f t="shared" si="4"/>
        <v>-0.06542056074766354</v>
      </c>
    </row>
    <row r="11" spans="1:22" ht="12.75">
      <c r="A11" s="15">
        <v>3200</v>
      </c>
      <c r="B11" s="12" t="s">
        <v>6</v>
      </c>
      <c r="D11" s="111">
        <v>0</v>
      </c>
      <c r="E11" s="112">
        <f t="shared" si="0"/>
        <v>0</v>
      </c>
      <c r="G11" s="111">
        <v>0</v>
      </c>
      <c r="H11" s="112">
        <f t="shared" si="1"/>
        <v>0</v>
      </c>
      <c r="J11" s="111">
        <f>IF(ISERROR(VLOOKUP(A11,'[4]FY2009 Actual'!$C$8:$L$54,10,FALSE)),0,VLOOKUP(A11,'[4]FY2009 Actual'!$C$8:$L$54,10,FALSE))</f>
        <v>0</v>
      </c>
      <c r="K11" s="112">
        <f t="shared" si="5"/>
        <v>0</v>
      </c>
      <c r="M11" s="111">
        <f>IF(ISERROR(VLOOKUP(A11,'[5]2010 Budget'!C10:M63,10,FALSE)),0,VLOOKUP(A11,'[5]2010 Budget'!C10:M63,10,FALSE))</f>
        <v>0</v>
      </c>
      <c r="N11" s="112">
        <f t="shared" si="2"/>
        <v>0</v>
      </c>
      <c r="P11" s="111">
        <f>IF(ISERROR(VLOOKUP(A11,'[4]FY2011 Budget'!$C$8:$L$54,10,FALSE)),0,VLOOKUP(A11,'[4]FY2011 Budget'!$C$8:$L$54,10,FALSE))</f>
        <v>0</v>
      </c>
      <c r="Q11" s="112">
        <f t="shared" si="6"/>
        <v>0</v>
      </c>
      <c r="S11" s="111">
        <f t="shared" si="7"/>
        <v>0</v>
      </c>
      <c r="V11" s="111">
        <f t="shared" si="3"/>
        <v>0</v>
      </c>
    </row>
    <row r="12" spans="1:23" ht="12.75">
      <c r="A12" s="15">
        <v>3350</v>
      </c>
      <c r="B12" s="12" t="s">
        <v>22</v>
      </c>
      <c r="D12" s="111">
        <v>13957</v>
      </c>
      <c r="E12" s="112">
        <f t="shared" si="0"/>
        <v>0.024206871154284455</v>
      </c>
      <c r="G12" s="111">
        <v>12373</v>
      </c>
      <c r="H12" s="112">
        <f t="shared" si="1"/>
        <v>0.020971212032665533</v>
      </c>
      <c r="J12" s="111">
        <f>IF(ISERROR(VLOOKUP(A12,'[4]FY2009 Actual'!$C$8:$L$54,10,FALSE)),0,VLOOKUP(A12,'[4]FY2009 Actual'!$C$8:$L$54,10,FALSE))</f>
        <v>12087</v>
      </c>
      <c r="K12" s="112">
        <f t="shared" si="5"/>
        <v>0.019126708692994945</v>
      </c>
      <c r="M12" s="111">
        <v>10424</v>
      </c>
      <c r="N12" s="112">
        <f t="shared" si="2"/>
        <v>0.015851991307561174</v>
      </c>
      <c r="P12" s="111">
        <f>IF(ISERROR(VLOOKUP(A12,'[4]FY2011 Budget'!$C$8:$L$54,10,FALSE)),0,VLOOKUP(A12,'[4]FY2011 Budget'!$C$8:$L$54,10,FALSE))</f>
        <v>9500</v>
      </c>
      <c r="Q12" s="112">
        <f t="shared" si="6"/>
        <v>0.01449164823430707</v>
      </c>
      <c r="S12" s="111">
        <f t="shared" si="7"/>
        <v>-1663</v>
      </c>
      <c r="T12" s="145">
        <f t="shared" si="8"/>
        <v>-0.1375858360221726</v>
      </c>
      <c r="V12" s="111">
        <f t="shared" si="3"/>
        <v>-924</v>
      </c>
      <c r="W12" s="145">
        <f t="shared" si="4"/>
        <v>-0.0886415963161934</v>
      </c>
    </row>
    <row r="13" spans="1:22" ht="12.75">
      <c r="A13" s="13">
        <v>3400</v>
      </c>
      <c r="B13" s="12" t="s">
        <v>43</v>
      </c>
      <c r="D13" s="111">
        <v>0</v>
      </c>
      <c r="E13" s="112">
        <f t="shared" si="0"/>
        <v>0</v>
      </c>
      <c r="G13" s="111">
        <v>-200</v>
      </c>
      <c r="H13" s="112">
        <f t="shared" si="1"/>
        <v>-0.00033898346452219404</v>
      </c>
      <c r="J13" s="111">
        <f>IF(ISERROR(VLOOKUP(A13,'[4]FY2009 Actual'!$C$8:$L$54,10,FALSE)),0,VLOOKUP(A13,'[4]FY2009 Actual'!$C$8:$L$54,10,FALSE))</f>
        <v>0</v>
      </c>
      <c r="K13" s="112">
        <f t="shared" si="5"/>
        <v>0</v>
      </c>
      <c r="M13" s="111">
        <f>IF(ISERROR(VLOOKUP(A13,'[5]2010 Budget'!C12:M65,10,FALSE)),0,VLOOKUP(A13,'[5]2010 Budget'!C12:M65,10,FALSE))</f>
        <v>0</v>
      </c>
      <c r="P13" s="111">
        <f>IF(ISERROR(VLOOKUP(A13,'[4]FY2011 Budget'!$C$8:$L$54,10,FALSE)),0,VLOOKUP(A13,'[4]FY2011 Budget'!$C$8:$L$54,10,FALSE))</f>
        <v>0</v>
      </c>
      <c r="Q13" s="112">
        <f t="shared" si="6"/>
        <v>0</v>
      </c>
      <c r="S13" s="111">
        <f t="shared" si="7"/>
        <v>0</v>
      </c>
      <c r="V13" s="111">
        <f t="shared" si="3"/>
        <v>0</v>
      </c>
    </row>
    <row r="14" spans="1:23" ht="12.75">
      <c r="A14" s="15">
        <v>3450</v>
      </c>
      <c r="B14" s="12" t="s">
        <v>23</v>
      </c>
      <c r="D14" s="111">
        <v>68328.2</v>
      </c>
      <c r="E14" s="112">
        <f t="shared" si="0"/>
        <v>0.11850769747110261</v>
      </c>
      <c r="G14" s="111">
        <v>60225.79</v>
      </c>
      <c r="H14" s="112">
        <f t="shared" si="1"/>
        <v>0.10207773473893055</v>
      </c>
      <c r="J14" s="111">
        <f>IF(ISERROR(VLOOKUP(A14,'[4]FY2009 Actual'!$C$8:$L$54,10,FALSE)),0,VLOOKUP(A14,'[4]FY2009 Actual'!$C$8:$L$54,10,FALSE))</f>
        <v>66744</v>
      </c>
      <c r="K14" s="112">
        <f t="shared" si="5"/>
        <v>0.10561703028090136</v>
      </c>
      <c r="M14" s="111">
        <v>121938</v>
      </c>
      <c r="N14" s="112">
        <f>M14/$M$20</f>
        <v>0.1854336258692819</v>
      </c>
      <c r="P14" s="111">
        <f>IF(ISERROR(VLOOKUP(A14,'[4]FY2011 Budget'!$C$8:$L$54,10,FALSE)),0,VLOOKUP(A14,'[4]FY2011 Budget'!$C$8:$L$54,10,FALSE))</f>
        <v>126000</v>
      </c>
      <c r="Q14" s="112">
        <f t="shared" si="6"/>
        <v>0.19220501868659903</v>
      </c>
      <c r="S14" s="111">
        <f t="shared" si="7"/>
        <v>55194</v>
      </c>
      <c r="T14" s="145">
        <f t="shared" si="8"/>
        <v>0.8269507371449119</v>
      </c>
      <c r="V14" s="111">
        <f t="shared" si="3"/>
        <v>4062</v>
      </c>
      <c r="W14" s="145">
        <f t="shared" si="4"/>
        <v>0.033312011021994783</v>
      </c>
    </row>
    <row r="15" spans="1:23" ht="12.75">
      <c r="A15" s="15">
        <v>3500</v>
      </c>
      <c r="B15" s="12" t="s">
        <v>24</v>
      </c>
      <c r="D15" s="111">
        <v>649.27</v>
      </c>
      <c r="E15" s="112">
        <f t="shared" si="0"/>
        <v>0.0011260869265846722</v>
      </c>
      <c r="G15" s="111">
        <v>569.97</v>
      </c>
      <c r="H15" s="112">
        <f t="shared" si="1"/>
        <v>0.0009660520263685748</v>
      </c>
      <c r="J15" s="111">
        <f>IF(ISERROR(VLOOKUP(A15,'[4]FY2009 Actual'!$C$8:$L$54,10,FALSE)),0,VLOOKUP(A15,'[4]FY2009 Actual'!$C$8:$L$54,10,FALSE))</f>
        <v>377</v>
      </c>
      <c r="K15" s="112">
        <f t="shared" si="5"/>
        <v>0.0005965722823909237</v>
      </c>
      <c r="M15" s="111">
        <v>463</v>
      </c>
      <c r="N15" s="112">
        <f>M15/$M$20</f>
        <v>0.000704093627724561</v>
      </c>
      <c r="P15" s="111">
        <f>IF(ISERROR(VLOOKUP(A15,'[4]FY2011 Budget'!$C$8:$L$54,10,FALSE)),0,VLOOKUP(A15,'[4]FY2011 Budget'!$C$8:$L$54,10,FALSE))</f>
        <v>350</v>
      </c>
      <c r="Q15" s="112">
        <f t="shared" si="6"/>
        <v>0.0005339028296849973</v>
      </c>
      <c r="S15" s="111">
        <f t="shared" si="7"/>
        <v>86</v>
      </c>
      <c r="T15" s="145">
        <f t="shared" si="8"/>
        <v>0.22811671087533156</v>
      </c>
      <c r="V15" s="111">
        <f t="shared" si="3"/>
        <v>-113</v>
      </c>
      <c r="W15" s="145">
        <f t="shared" si="4"/>
        <v>-0.24406047516198703</v>
      </c>
    </row>
    <row r="16" spans="1:22" ht="12.75">
      <c r="A16" s="15">
        <v>3550</v>
      </c>
      <c r="B16" s="12" t="s">
        <v>7</v>
      </c>
      <c r="D16" s="111">
        <v>0</v>
      </c>
      <c r="E16" s="112">
        <f t="shared" si="0"/>
        <v>0</v>
      </c>
      <c r="G16" s="111">
        <v>0</v>
      </c>
      <c r="H16" s="112">
        <f t="shared" si="1"/>
        <v>0</v>
      </c>
      <c r="J16" s="111">
        <f>IF(ISERROR(VLOOKUP(A16,'[4]FY2009 Actual'!$C$8:$L$54,10,FALSE)),0,VLOOKUP(A16,'[4]FY2009 Actual'!$C$8:$L$54,10,FALSE))</f>
        <v>0</v>
      </c>
      <c r="K16" s="112">
        <f t="shared" si="5"/>
        <v>0</v>
      </c>
      <c r="M16" s="111">
        <f>IF(ISERROR(VLOOKUP(A16,'[5]2010 Budget'!C15:M68,10,FALSE)),0,VLOOKUP(A16,'[5]2010 Budget'!C15:M68,10,FALSE))</f>
        <v>0</v>
      </c>
      <c r="N16" s="112">
        <f>M16/$M$20</f>
        <v>0</v>
      </c>
      <c r="P16" s="111">
        <f>IF(ISERROR(VLOOKUP(A16,'[4]FY2011 Budget'!$C$8:$L$54,10,FALSE)),0,VLOOKUP(A16,'[4]FY2011 Budget'!$C$8:$L$54,10,FALSE))</f>
        <v>0</v>
      </c>
      <c r="Q16" s="112">
        <f t="shared" si="6"/>
        <v>0</v>
      </c>
      <c r="S16" s="111">
        <f t="shared" si="7"/>
        <v>0</v>
      </c>
      <c r="V16" s="111">
        <f t="shared" si="3"/>
        <v>0</v>
      </c>
    </row>
    <row r="17" spans="1:22" ht="12.75">
      <c r="A17" s="15">
        <v>3600</v>
      </c>
      <c r="B17" s="12" t="s">
        <v>8</v>
      </c>
      <c r="D17" s="111">
        <v>0</v>
      </c>
      <c r="E17" s="112">
        <f t="shared" si="0"/>
        <v>0</v>
      </c>
      <c r="G17" s="111">
        <v>0</v>
      </c>
      <c r="H17" s="112">
        <f t="shared" si="1"/>
        <v>0</v>
      </c>
      <c r="J17" s="111">
        <f>IF(ISERROR(VLOOKUP(A17,'[4]FY2009 Actual'!$C$8:$L$54,10,FALSE)),0,VLOOKUP(A17,'[4]FY2009 Actual'!$C$8:$L$54,10,FALSE))</f>
        <v>0</v>
      </c>
      <c r="K17" s="112">
        <f t="shared" si="5"/>
        <v>0</v>
      </c>
      <c r="M17" s="111">
        <v>75</v>
      </c>
      <c r="N17" s="112">
        <f>M17/$M$20</f>
        <v>0.00011405404336790945</v>
      </c>
      <c r="P17" s="111">
        <f>IF(ISERROR(VLOOKUP(A17,'[4]FY2011 Budget'!$C$8:$L$54,10,FALSE)),0,VLOOKUP(A17,'[4]FY2011 Budget'!$C$8:$L$54,10,FALSE))</f>
        <v>0</v>
      </c>
      <c r="Q17" s="112">
        <f t="shared" si="6"/>
        <v>0</v>
      </c>
      <c r="S17" s="111">
        <f t="shared" si="7"/>
        <v>75</v>
      </c>
      <c r="V17" s="111">
        <f t="shared" si="3"/>
        <v>-75</v>
      </c>
    </row>
    <row r="18" spans="1:23" ht="12.75">
      <c r="A18" s="15">
        <v>3700</v>
      </c>
      <c r="B18" s="12" t="s">
        <v>25</v>
      </c>
      <c r="D18" s="111">
        <v>22838.86</v>
      </c>
      <c r="E18" s="112">
        <f t="shared" si="0"/>
        <v>0.03961147390776966</v>
      </c>
      <c r="G18" s="111">
        <v>15985.47</v>
      </c>
      <c r="H18" s="112">
        <f t="shared" si="1"/>
        <v>0.027094050013077985</v>
      </c>
      <c r="J18" s="111">
        <f>IF(ISERROR(VLOOKUP(A18,'[4]FY2009 Actual'!$C$8:$L$54,10,FALSE)),0,VLOOKUP(A18,'[4]FY2009 Actual'!$C$8:$L$54,10,FALSE))</f>
        <v>23213.54</v>
      </c>
      <c r="K18" s="112">
        <f t="shared" si="5"/>
        <v>0.03673356641955704</v>
      </c>
      <c r="M18" s="111">
        <v>16311</v>
      </c>
      <c r="N18" s="112">
        <f>M18/$M$20</f>
        <v>0.024804473351652947</v>
      </c>
      <c r="P18" s="111">
        <f>IF(ISERROR(VLOOKUP(A18,'[4]FY2011 Budget'!$C$8:$L$54,10,FALSE)),0,VLOOKUP(A18,'[4]FY2011 Budget'!$C$8:$L$54,10,FALSE))</f>
        <v>15500</v>
      </c>
      <c r="Q18" s="112">
        <f t="shared" si="6"/>
        <v>0.02364426817176417</v>
      </c>
      <c r="S18" s="111">
        <f t="shared" si="7"/>
        <v>-6902.540000000001</v>
      </c>
      <c r="T18" s="145">
        <f t="shared" si="8"/>
        <v>-0.2973497364038402</v>
      </c>
      <c r="V18" s="111">
        <f>P18-M18</f>
        <v>-811</v>
      </c>
      <c r="W18" s="145">
        <f>(P18-M18)/M18</f>
        <v>-0.04972104714609773</v>
      </c>
    </row>
    <row r="19" spans="1:2" ht="12.75">
      <c r="A19" s="15"/>
      <c r="B19" s="12"/>
    </row>
    <row r="20" spans="1:23" s="129" customFormat="1" ht="13.5" thickBot="1">
      <c r="A20" s="133"/>
      <c r="B20" s="122" t="s">
        <v>9</v>
      </c>
      <c r="D20" s="126">
        <f>SUM(D5:D19)</f>
        <v>576571.83</v>
      </c>
      <c r="E20" s="135">
        <f>SUM(E5:E19)</f>
        <v>1</v>
      </c>
      <c r="F20" s="136"/>
      <c r="G20" s="126">
        <f>SUM(G5:G19)</f>
        <v>589999.2799999999</v>
      </c>
      <c r="H20" s="135">
        <f>SUM(H5:H19)</f>
        <v>1.0000000000000002</v>
      </c>
      <c r="I20" s="136"/>
      <c r="J20" s="126">
        <f>SUM(J5:J19)</f>
        <v>631943.54</v>
      </c>
      <c r="K20" s="135">
        <f>SUM(K5:K19)</f>
        <v>1</v>
      </c>
      <c r="L20" s="136"/>
      <c r="M20" s="126">
        <f>SUM(M5:M19)</f>
        <v>657583</v>
      </c>
      <c r="N20" s="135">
        <f>SUM(N5:N19)</f>
        <v>1.0000000000000002</v>
      </c>
      <c r="O20" s="136"/>
      <c r="P20" s="126">
        <f>SUM(P5:P19)</f>
        <v>655550</v>
      </c>
      <c r="Q20" s="135">
        <f>SUM(Q5:Q19)</f>
        <v>0.9999999999999999</v>
      </c>
      <c r="R20" s="136"/>
      <c r="S20" s="126">
        <f>M20-J20</f>
        <v>25639.459999999963</v>
      </c>
      <c r="T20" s="146">
        <f t="shared" si="8"/>
        <v>0.04057239037525403</v>
      </c>
      <c r="U20" s="136"/>
      <c r="V20" s="126">
        <f>P20-M20</f>
        <v>-2033</v>
      </c>
      <c r="W20" s="146">
        <f>(P20-M20)/M20</f>
        <v>-0.0030916249355594657</v>
      </c>
    </row>
    <row r="21" ht="12.75">
      <c r="A21" s="13"/>
    </row>
    <row r="22" ht="12.75">
      <c r="A22" s="19" t="s">
        <v>10</v>
      </c>
    </row>
    <row r="23" ht="12.75">
      <c r="A23" s="23"/>
    </row>
    <row r="24" spans="1:23" s="26" customFormat="1" ht="12.75">
      <c r="A24" s="75">
        <v>4010</v>
      </c>
      <c r="B24" s="76" t="s">
        <v>26</v>
      </c>
      <c r="C24" s="30"/>
      <c r="D24" s="84">
        <v>325270.95</v>
      </c>
      <c r="E24" s="106">
        <f aca="true" t="shared" si="9" ref="E24:E46">D24/$D$48</f>
        <v>0.5130809468916159</v>
      </c>
      <c r="F24" s="30"/>
      <c r="G24" s="84">
        <v>325380.63</v>
      </c>
      <c r="H24" s="106">
        <f aca="true" t="shared" si="10" ref="H24:H46">G24/$G$48</f>
        <v>0.5230830653592133</v>
      </c>
      <c r="I24" s="30"/>
      <c r="J24" s="111">
        <f>IF(ISERROR(VLOOKUP(A24,'[4]FY2009 Actual'!$C$8:$L$54,10,FALSE)),0,VLOOKUP(A24,'[4]FY2009 Actual'!$C$8:$L$54,10,FALSE))</f>
        <v>290242</v>
      </c>
      <c r="K24" s="106">
        <f>J24/$J$48</f>
        <v>0.4534811595063364</v>
      </c>
      <c r="L24" s="30"/>
      <c r="M24" s="111">
        <v>277245</v>
      </c>
      <c r="N24" s="106">
        <f aca="true" t="shared" si="11" ref="N24:N46">M24/$M$48</f>
        <v>0.436199637503304</v>
      </c>
      <c r="O24" s="30"/>
      <c r="P24" s="111">
        <f>IF(ISERROR(VLOOKUP(A24,'[4]FY2011 Budget'!$C$8:$L$54,10,FALSE)),0,VLOOKUP(A24,'[4]FY2011 Budget'!$C$8:$L$54,10,FALSE))</f>
        <v>281921.96</v>
      </c>
      <c r="Q24" s="112">
        <f>P24/$P$48</f>
        <v>0.43571890282413567</v>
      </c>
      <c r="R24" s="30"/>
      <c r="S24" s="84">
        <f>M24-J24</f>
        <v>-12997</v>
      </c>
      <c r="T24" s="83">
        <f aca="true" t="shared" si="12" ref="T24:T50">(M24-J24)/J24</f>
        <v>-0.044779873347068996</v>
      </c>
      <c r="U24" s="30"/>
      <c r="V24" s="84">
        <f aca="true" t="shared" si="13" ref="V24:V45">P24-M24</f>
        <v>4676.960000000021</v>
      </c>
      <c r="W24" s="83">
        <f aca="true" t="shared" si="14" ref="W24:W45">(P24-M24)/M24</f>
        <v>0.01686941153131714</v>
      </c>
    </row>
    <row r="25" spans="1:23" s="26" customFormat="1" ht="12.75">
      <c r="A25" s="75">
        <v>4030</v>
      </c>
      <c r="B25" s="76" t="s">
        <v>27</v>
      </c>
      <c r="C25" s="30"/>
      <c r="D25" s="84">
        <v>22614.59</v>
      </c>
      <c r="E25" s="106">
        <f t="shared" si="9"/>
        <v>0.035672153479324446</v>
      </c>
      <c r="F25" s="30"/>
      <c r="G25" s="84">
        <v>26091.89</v>
      </c>
      <c r="H25" s="106">
        <f t="shared" si="10"/>
        <v>0.04194541574959581</v>
      </c>
      <c r="I25" s="30"/>
      <c r="J25" s="111">
        <f>IF(ISERROR(VLOOKUP(A25,'[4]FY2009 Actual'!$C$8:$L$54,10,FALSE)),0,VLOOKUP(A25,'[4]FY2009 Actual'!$C$8:$L$54,10,FALSE))</f>
        <v>33529</v>
      </c>
      <c r="K25" s="106">
        <f aca="true" t="shared" si="15" ref="K25:K46">J25/$J$48</f>
        <v>0.05238652502769397</v>
      </c>
      <c r="L25" s="30"/>
      <c r="M25" s="111">
        <v>42341</v>
      </c>
      <c r="N25" s="106">
        <f t="shared" si="11"/>
        <v>0.06661663457060504</v>
      </c>
      <c r="O25" s="30"/>
      <c r="P25" s="111">
        <f>IF(ISERROR(VLOOKUP(A25,'[4]FY2011 Budget'!$C$8:$L$54,10,FALSE)),0,VLOOKUP(A25,'[4]FY2011 Budget'!$C$8:$L$54,10,FALSE))</f>
        <v>40750</v>
      </c>
      <c r="Q25" s="112">
        <f aca="true" t="shared" si="16" ref="Q25:Q46">P25/$P$48</f>
        <v>0.06298035559231897</v>
      </c>
      <c r="R25" s="30"/>
      <c r="S25" s="84">
        <f aca="true" t="shared" si="17" ref="S25:S46">M25-J25</f>
        <v>8812</v>
      </c>
      <c r="T25" s="83">
        <f t="shared" si="12"/>
        <v>0.26281726266813804</v>
      </c>
      <c r="U25" s="30"/>
      <c r="V25" s="84">
        <f t="shared" si="13"/>
        <v>-1591</v>
      </c>
      <c r="W25" s="83">
        <f t="shared" si="14"/>
        <v>-0.037575872086157626</v>
      </c>
    </row>
    <row r="26" spans="1:23" s="26" customFormat="1" ht="12.75">
      <c r="A26" s="75">
        <v>4040</v>
      </c>
      <c r="B26" s="76" t="s">
        <v>28</v>
      </c>
      <c r="C26" s="30"/>
      <c r="D26" s="84">
        <v>20285.22</v>
      </c>
      <c r="E26" s="106">
        <f t="shared" si="9"/>
        <v>0.03199781562265165</v>
      </c>
      <c r="F26" s="30"/>
      <c r="G26" s="84">
        <v>18511.44</v>
      </c>
      <c r="H26" s="106">
        <f t="shared" si="10"/>
        <v>0.029759057198374583</v>
      </c>
      <c r="I26" s="30"/>
      <c r="J26" s="111">
        <f>IF(ISERROR(VLOOKUP(A26,'[4]FY2009 Actual'!$C$8:$L$54,10,FALSE)),0,VLOOKUP(A26,'[4]FY2009 Actual'!$C$8:$L$54,10,FALSE))</f>
        <v>14672</v>
      </c>
      <c r="K26" s="106">
        <f t="shared" si="15"/>
        <v>0.022923889624096333</v>
      </c>
      <c r="L26" s="30"/>
      <c r="M26" s="111">
        <v>15917</v>
      </c>
      <c r="N26" s="106">
        <f t="shared" si="11"/>
        <v>0.025042794748832583</v>
      </c>
      <c r="O26" s="30"/>
      <c r="P26" s="111">
        <f>IF(ISERROR(VLOOKUP(A26,'[4]FY2011 Budget'!$C$8:$L$54,10,FALSE)),0,VLOOKUP(A26,'[4]FY2011 Budget'!$C$8:$L$54,10,FALSE))</f>
        <v>17607.31344</v>
      </c>
      <c r="Q26" s="112">
        <f t="shared" si="16"/>
        <v>0.027212634637463</v>
      </c>
      <c r="R26" s="30"/>
      <c r="S26" s="84">
        <f t="shared" si="17"/>
        <v>1245</v>
      </c>
      <c r="T26" s="83">
        <f t="shared" si="12"/>
        <v>0.08485550708833152</v>
      </c>
      <c r="U26" s="30"/>
      <c r="V26" s="84">
        <f t="shared" si="13"/>
        <v>1690.3134400000017</v>
      </c>
      <c r="W26" s="83">
        <f t="shared" si="14"/>
        <v>0.10619547904755933</v>
      </c>
    </row>
    <row r="27" spans="1:23" s="26" customFormat="1" ht="12.75">
      <c r="A27" s="75">
        <v>4050</v>
      </c>
      <c r="B27" s="76" t="s">
        <v>29</v>
      </c>
      <c r="C27" s="30"/>
      <c r="D27" s="84">
        <v>7870.66</v>
      </c>
      <c r="E27" s="106">
        <f t="shared" si="9"/>
        <v>0.012415144006748728</v>
      </c>
      <c r="F27" s="30"/>
      <c r="G27" s="84">
        <v>12435.45</v>
      </c>
      <c r="H27" s="106">
        <f t="shared" si="10"/>
        <v>0.019991273927772623</v>
      </c>
      <c r="I27" s="30"/>
      <c r="J27" s="111">
        <f>IF(ISERROR(VLOOKUP(A27,'[4]FY2009 Actual'!$C$8:$L$54,10,FALSE)),0,VLOOKUP(A27,'[4]FY2009 Actual'!$C$8:$L$54,10,FALSE))</f>
        <v>10087</v>
      </c>
      <c r="K27" s="106">
        <f t="shared" si="15"/>
        <v>0.015760174116566227</v>
      </c>
      <c r="L27" s="30"/>
      <c r="M27" s="111">
        <v>4818</v>
      </c>
      <c r="N27" s="106">
        <f t="shared" si="11"/>
        <v>0.007580334554242344</v>
      </c>
      <c r="O27" s="30"/>
      <c r="P27" s="111">
        <f>IF(ISERROR(VLOOKUP(A27,'[4]FY2011 Budget'!$C$8:$L$54,10,FALSE)),0,VLOOKUP(A27,'[4]FY2011 Budget'!$C$8:$L$54,10,FALSE))</f>
        <v>18412.876800000002</v>
      </c>
      <c r="Q27" s="112">
        <f t="shared" si="16"/>
        <v>0.028457657137216208</v>
      </c>
      <c r="R27" s="30"/>
      <c r="S27" s="84">
        <f t="shared" si="17"/>
        <v>-5269</v>
      </c>
      <c r="T27" s="83">
        <f t="shared" si="12"/>
        <v>-0.5223555070883316</v>
      </c>
      <c r="U27" s="30"/>
      <c r="V27" s="84">
        <f t="shared" si="13"/>
        <v>13594.876800000002</v>
      </c>
      <c r="W27" s="83">
        <f t="shared" si="14"/>
        <v>2.8216846824408472</v>
      </c>
    </row>
    <row r="28" spans="1:23" s="26" customFormat="1" ht="12.75">
      <c r="A28" s="75">
        <v>4060</v>
      </c>
      <c r="B28" s="76" t="s">
        <v>30</v>
      </c>
      <c r="C28" s="30"/>
      <c r="D28" s="84">
        <v>4143.89</v>
      </c>
      <c r="E28" s="106">
        <f t="shared" si="9"/>
        <v>0.00653655361788287</v>
      </c>
      <c r="F28" s="30"/>
      <c r="G28" s="84">
        <v>431.98</v>
      </c>
      <c r="H28" s="106">
        <f t="shared" si="10"/>
        <v>0.0006944525941014775</v>
      </c>
      <c r="I28" s="30"/>
      <c r="J28" s="111">
        <f>IF(ISERROR(VLOOKUP(A28,'[4]FY2009 Actual'!$C$8:$L$54,10,FALSE)),0,VLOOKUP(A28,'[4]FY2009 Actual'!$C$8:$L$54,10,FALSE))</f>
        <v>2300</v>
      </c>
      <c r="K28" s="106">
        <f t="shared" si="15"/>
        <v>0.003593575936165592</v>
      </c>
      <c r="L28" s="30"/>
      <c r="M28" s="111">
        <v>2200</v>
      </c>
      <c r="N28" s="106">
        <f t="shared" si="11"/>
        <v>0.0034613399791060934</v>
      </c>
      <c r="O28" s="30"/>
      <c r="P28" s="111">
        <f>IF(ISERROR(VLOOKUP(A28,'[4]FY2011 Budget'!$C$8:$L$54,10,FALSE)),0,VLOOKUP(A28,'[4]FY2011 Budget'!$C$8:$L$54,10,FALSE))</f>
        <v>2200</v>
      </c>
      <c r="Q28" s="112">
        <f t="shared" si="16"/>
        <v>0.0034001664368859324</v>
      </c>
      <c r="R28" s="30"/>
      <c r="S28" s="84">
        <f t="shared" si="17"/>
        <v>-100</v>
      </c>
      <c r="T28" s="83">
        <f t="shared" si="12"/>
        <v>-0.043478260869565216</v>
      </c>
      <c r="U28" s="30"/>
      <c r="V28" s="84">
        <f t="shared" si="13"/>
        <v>0</v>
      </c>
      <c r="W28" s="83">
        <f t="shared" si="14"/>
        <v>0</v>
      </c>
    </row>
    <row r="29" spans="1:23" s="26" customFormat="1" ht="12.75">
      <c r="A29" s="75">
        <v>4100</v>
      </c>
      <c r="B29" s="76" t="s">
        <v>31</v>
      </c>
      <c r="C29" s="30"/>
      <c r="D29" s="84">
        <v>4822.71</v>
      </c>
      <c r="E29" s="106">
        <f t="shared" si="9"/>
        <v>0.007607321260578803</v>
      </c>
      <c r="F29" s="30"/>
      <c r="G29" s="84">
        <v>4866.09</v>
      </c>
      <c r="H29" s="106">
        <f t="shared" si="10"/>
        <v>0.007822743700243665</v>
      </c>
      <c r="I29" s="30"/>
      <c r="J29" s="111">
        <f>IF(ISERROR(VLOOKUP(A29,'[4]FY2009 Actual'!$C$8:$L$54,10,FALSE)),0,VLOOKUP(A29,'[4]FY2009 Actual'!$C$8:$L$54,10,FALSE))</f>
        <v>6378</v>
      </c>
      <c r="K29" s="106">
        <f t="shared" si="15"/>
        <v>0.009965142313419193</v>
      </c>
      <c r="L29" s="30"/>
      <c r="M29" s="111">
        <v>5197</v>
      </c>
      <c r="N29" s="106">
        <f t="shared" si="11"/>
        <v>0.008176629032461075</v>
      </c>
      <c r="O29" s="30"/>
      <c r="P29" s="111">
        <f>IF(ISERROR(VLOOKUP(A29,'[4]FY2011 Budget'!$C$8:$L$54,10,FALSE)),0,VLOOKUP(A29,'[4]FY2011 Budget'!$C$8:$L$54,10,FALSE))</f>
        <v>5000</v>
      </c>
      <c r="Q29" s="112">
        <f t="shared" si="16"/>
        <v>0.007727650992922574</v>
      </c>
      <c r="R29" s="30"/>
      <c r="S29" s="84">
        <f t="shared" si="17"/>
        <v>-1181</v>
      </c>
      <c r="T29" s="83">
        <f t="shared" si="12"/>
        <v>-0.18516776418940106</v>
      </c>
      <c r="U29" s="30"/>
      <c r="V29" s="84">
        <f t="shared" si="13"/>
        <v>-197</v>
      </c>
      <c r="W29" s="83">
        <f t="shared" si="14"/>
        <v>-0.0379064845102944</v>
      </c>
    </row>
    <row r="30" spans="1:23" s="26" customFormat="1" ht="12.75">
      <c r="A30" s="75">
        <v>4150</v>
      </c>
      <c r="B30" s="76" t="s">
        <v>11</v>
      </c>
      <c r="C30" s="30"/>
      <c r="D30" s="84">
        <v>16197.86</v>
      </c>
      <c r="E30" s="106">
        <f t="shared" si="9"/>
        <v>0.02555043217483095</v>
      </c>
      <c r="F30" s="30"/>
      <c r="G30" s="84">
        <v>18953.12</v>
      </c>
      <c r="H30" s="106">
        <f t="shared" si="10"/>
        <v>0.03046910354719337</v>
      </c>
      <c r="I30" s="30"/>
      <c r="J30" s="111">
        <f>IF(ISERROR(VLOOKUP(A30,'[4]FY2009 Actual'!$C$8:$L$54,10,FALSE)),0,VLOOKUP(A30,'[4]FY2009 Actual'!$C$8:$L$54,10,FALSE))</f>
        <v>21657</v>
      </c>
      <c r="K30" s="106">
        <f t="shared" si="15"/>
        <v>0.03383742349979923</v>
      </c>
      <c r="L30" s="30"/>
      <c r="M30" s="111">
        <v>18297</v>
      </c>
      <c r="N30" s="106">
        <f t="shared" si="11"/>
        <v>0.02878733527168372</v>
      </c>
      <c r="O30" s="30"/>
      <c r="P30" s="111">
        <f>IF(ISERROR(VLOOKUP(A30,'[4]FY2011 Budget'!$C$8:$L$54,10,FALSE)),0,VLOOKUP(A30,'[4]FY2011 Budget'!$C$8:$L$54,10,FALSE))</f>
        <v>19500</v>
      </c>
      <c r="Q30" s="112">
        <f t="shared" si="16"/>
        <v>0.030137838872398036</v>
      </c>
      <c r="R30" s="30"/>
      <c r="S30" s="84">
        <f t="shared" si="17"/>
        <v>-3360</v>
      </c>
      <c r="T30" s="83">
        <f t="shared" si="12"/>
        <v>-0.15514614212494807</v>
      </c>
      <c r="U30" s="30"/>
      <c r="V30" s="84">
        <f t="shared" si="13"/>
        <v>1203</v>
      </c>
      <c r="W30" s="83">
        <f t="shared" si="14"/>
        <v>0.06574848335792753</v>
      </c>
    </row>
    <row r="31" spans="1:23" s="26" customFormat="1" ht="12.75">
      <c r="A31" s="75">
        <v>4200</v>
      </c>
      <c r="B31" s="76" t="s">
        <v>12</v>
      </c>
      <c r="C31" s="30"/>
      <c r="D31" s="84">
        <v>2015.04</v>
      </c>
      <c r="E31" s="106">
        <f t="shared" si="9"/>
        <v>0.003178515115550533</v>
      </c>
      <c r="F31" s="30"/>
      <c r="G31" s="84">
        <v>901.46</v>
      </c>
      <c r="H31" s="106">
        <f t="shared" si="10"/>
        <v>0.0014491903224193663</v>
      </c>
      <c r="I31" s="30"/>
      <c r="J31" s="111">
        <f>IF(ISERROR(VLOOKUP(A31,'[4]FY2009 Actual'!$C$8:$L$54,10,FALSE)),0,VLOOKUP(A31,'[4]FY2009 Actual'!$C$8:$L$54,10,FALSE))</f>
        <v>433</v>
      </c>
      <c r="K31" s="106">
        <f t="shared" si="15"/>
        <v>0.0006765297305911745</v>
      </c>
      <c r="L31" s="30"/>
      <c r="M31" s="111">
        <v>450</v>
      </c>
      <c r="N31" s="106">
        <f t="shared" si="11"/>
        <v>0.00070800135936261</v>
      </c>
      <c r="O31" s="30"/>
      <c r="P31" s="111">
        <f>IF(ISERROR(VLOOKUP(A31,'[4]FY2011 Budget'!$C$8:$L$54,10,FALSE)),0,VLOOKUP(A31,'[4]FY2011 Budget'!$C$8:$L$54,10,FALSE))</f>
        <v>0</v>
      </c>
      <c r="Q31" s="112">
        <f t="shared" si="16"/>
        <v>0</v>
      </c>
      <c r="R31" s="30"/>
      <c r="S31" s="84">
        <f t="shared" si="17"/>
        <v>17</v>
      </c>
      <c r="T31" s="83">
        <f t="shared" si="12"/>
        <v>0.03926096997690531</v>
      </c>
      <c r="U31" s="30"/>
      <c r="V31" s="84">
        <f t="shared" si="13"/>
        <v>-450</v>
      </c>
      <c r="W31" s="83">
        <f t="shared" si="14"/>
        <v>-1</v>
      </c>
    </row>
    <row r="32" spans="1:23" s="26" customFormat="1" ht="12.75">
      <c r="A32" s="75">
        <v>4250</v>
      </c>
      <c r="B32" s="76" t="s">
        <v>32</v>
      </c>
      <c r="C32" s="30"/>
      <c r="D32" s="84">
        <v>12351.84</v>
      </c>
      <c r="E32" s="106">
        <f t="shared" si="9"/>
        <v>0.01948373736742779</v>
      </c>
      <c r="F32" s="30"/>
      <c r="G32" s="84">
        <v>5527.19</v>
      </c>
      <c r="H32" s="106">
        <f t="shared" si="10"/>
        <v>0.008885530426389518</v>
      </c>
      <c r="I32" s="30"/>
      <c r="J32" s="111">
        <f>IF(ISERROR(VLOOKUP(A32,'[4]FY2009 Actual'!$C$8:$L$54,10,FALSE)),0,VLOOKUP(A32,'[4]FY2009 Actual'!$C$8:$L$54,10,FALSE))</f>
        <v>12078</v>
      </c>
      <c r="K32" s="106">
        <f t="shared" si="15"/>
        <v>0.018870960937829574</v>
      </c>
      <c r="L32" s="30"/>
      <c r="M32" s="111">
        <v>12292</v>
      </c>
      <c r="N32" s="106">
        <f t="shared" si="11"/>
        <v>0.019339450465078227</v>
      </c>
      <c r="O32" s="30"/>
      <c r="P32" s="111">
        <f>IF(ISERROR(VLOOKUP(A32,'[4]FY2011 Budget'!$C$8:$L$54,10,FALSE)),0,VLOOKUP(A32,'[4]FY2011 Budget'!$C$8:$L$54,10,FALSE))</f>
        <v>12798</v>
      </c>
      <c r="Q32" s="112">
        <f t="shared" si="16"/>
        <v>0.01977969548148462</v>
      </c>
      <c r="R32" s="30"/>
      <c r="S32" s="84">
        <f t="shared" si="17"/>
        <v>214</v>
      </c>
      <c r="T32" s="83">
        <f t="shared" si="12"/>
        <v>0.017718165259148867</v>
      </c>
      <c r="U32" s="30"/>
      <c r="V32" s="84">
        <f t="shared" si="13"/>
        <v>506</v>
      </c>
      <c r="W32" s="83">
        <f t="shared" si="14"/>
        <v>0.04116498535632932</v>
      </c>
    </row>
    <row r="33" spans="1:23" s="26" customFormat="1" ht="12.75">
      <c r="A33" s="75">
        <v>4400</v>
      </c>
      <c r="B33" s="76" t="s">
        <v>33</v>
      </c>
      <c r="C33" s="30"/>
      <c r="D33" s="84">
        <v>2332.2</v>
      </c>
      <c r="E33" s="106">
        <f t="shared" si="9"/>
        <v>0.0036788018860603026</v>
      </c>
      <c r="F33" s="30"/>
      <c r="G33" s="84">
        <v>1935.38</v>
      </c>
      <c r="H33" s="106">
        <f t="shared" si="10"/>
        <v>0.0031113238149268886</v>
      </c>
      <c r="I33" s="30"/>
      <c r="J33" s="111">
        <f>IF(ISERROR(VLOOKUP(A33,'[4]FY2009 Actual'!$C$8:$L$54,10,FALSE)),0,VLOOKUP(A33,'[4]FY2009 Actual'!$C$8:$L$54,10,FALSE))</f>
        <v>2500</v>
      </c>
      <c r="K33" s="106">
        <f t="shared" si="15"/>
        <v>0.003906060800179991</v>
      </c>
      <c r="L33" s="30"/>
      <c r="M33" s="111">
        <v>2999</v>
      </c>
      <c r="N33" s="106">
        <f t="shared" si="11"/>
        <v>0.004718435726063261</v>
      </c>
      <c r="O33" s="30"/>
      <c r="P33" s="111">
        <f>IF(ISERROR(VLOOKUP(A33,'[4]FY2011 Budget'!$C$8:$L$54,10,FALSE)),0,VLOOKUP(A33,'[4]FY2011 Budget'!$C$8:$L$54,10,FALSE))</f>
        <v>3200</v>
      </c>
      <c r="Q33" s="112">
        <f t="shared" si="16"/>
        <v>0.004945696635470447</v>
      </c>
      <c r="R33" s="30"/>
      <c r="S33" s="84">
        <f t="shared" si="17"/>
        <v>499</v>
      </c>
      <c r="T33" s="83">
        <f t="shared" si="12"/>
        <v>0.1996</v>
      </c>
      <c r="U33" s="30"/>
      <c r="V33" s="84">
        <f t="shared" si="13"/>
        <v>201</v>
      </c>
      <c r="W33" s="83">
        <f t="shared" si="14"/>
        <v>0.06702234078026009</v>
      </c>
    </row>
    <row r="34" spans="1:23" s="26" customFormat="1" ht="12.75">
      <c r="A34" s="75">
        <v>4410</v>
      </c>
      <c r="B34" s="76" t="s">
        <v>34</v>
      </c>
      <c r="C34" s="30"/>
      <c r="D34" s="84">
        <v>19156.06</v>
      </c>
      <c r="E34" s="106">
        <f t="shared" si="9"/>
        <v>0.030216683670990625</v>
      </c>
      <c r="F34" s="30"/>
      <c r="G34" s="84">
        <v>21660.31</v>
      </c>
      <c r="H34" s="106">
        <f t="shared" si="10"/>
        <v>0.03482119188050876</v>
      </c>
      <c r="I34" s="30"/>
      <c r="J34" s="111">
        <f>IF(ISERROR(VLOOKUP(A34,'[4]FY2009 Actual'!$C$8:$L$54,10,FALSE)),0,VLOOKUP(A34,'[4]FY2009 Actual'!$C$8:$L$54,10,FALSE))</f>
        <v>26530</v>
      </c>
      <c r="K34" s="106">
        <f t="shared" si="15"/>
        <v>0.04145111721151007</v>
      </c>
      <c r="L34" s="30"/>
      <c r="M34" s="111">
        <v>43122</v>
      </c>
      <c r="N34" s="106">
        <f t="shared" si="11"/>
        <v>0.0678454102631877</v>
      </c>
      <c r="O34" s="30"/>
      <c r="P34" s="111">
        <f>IF(ISERROR(VLOOKUP(A34,'[4]FY2011 Budget'!$C$8:$L$54,10,FALSE)),0,VLOOKUP(A34,'[4]FY2011 Budget'!$C$8:$L$54,10,FALSE))</f>
        <v>48000</v>
      </c>
      <c r="Q34" s="112">
        <f t="shared" si="16"/>
        <v>0.0741854495320567</v>
      </c>
      <c r="R34" s="30"/>
      <c r="S34" s="84">
        <f t="shared" si="17"/>
        <v>16592</v>
      </c>
      <c r="T34" s="83">
        <f t="shared" si="12"/>
        <v>0.6254052016584998</v>
      </c>
      <c r="U34" s="30"/>
      <c r="V34" s="84">
        <f t="shared" si="13"/>
        <v>4878</v>
      </c>
      <c r="W34" s="83">
        <f t="shared" si="14"/>
        <v>0.11312091275914846</v>
      </c>
    </row>
    <row r="35" spans="1:23" s="26" customFormat="1" ht="12.75">
      <c r="A35" s="75">
        <v>4420</v>
      </c>
      <c r="B35" s="76" t="s">
        <v>35</v>
      </c>
      <c r="C35" s="30"/>
      <c r="D35" s="84">
        <v>16914.8</v>
      </c>
      <c r="E35" s="106">
        <f t="shared" si="9"/>
        <v>0.026681330135637085</v>
      </c>
      <c r="F35" s="30"/>
      <c r="G35" s="84">
        <v>14414.89</v>
      </c>
      <c r="H35" s="106">
        <f t="shared" si="10"/>
        <v>0.023173428756394845</v>
      </c>
      <c r="I35" s="30"/>
      <c r="J35" s="111">
        <f>IF(ISERROR(VLOOKUP(A35,'[4]FY2009 Actual'!$C$8:$L$54,10,FALSE)),0,VLOOKUP(A35,'[4]FY2009 Actual'!$C$8:$L$54,10,FALSE))</f>
        <v>18533</v>
      </c>
      <c r="K35" s="106">
        <f t="shared" si="15"/>
        <v>0.02895640992389431</v>
      </c>
      <c r="L35" s="30"/>
      <c r="M35" s="111">
        <v>14858</v>
      </c>
      <c r="N35" s="106">
        <f t="shared" si="11"/>
        <v>0.023376631549799243</v>
      </c>
      <c r="O35" s="30"/>
      <c r="P35" s="111">
        <f>IF(ISERROR(VLOOKUP(A35,'[4]FY2011 Budget'!$C$8:$L$54,10,FALSE)),0,VLOOKUP(A35,'[4]FY2011 Budget'!$C$8:$L$54,10,FALSE))</f>
        <v>18600</v>
      </c>
      <c r="Q35" s="112">
        <f t="shared" si="16"/>
        <v>0.028746861693671973</v>
      </c>
      <c r="R35" s="30"/>
      <c r="S35" s="84">
        <f t="shared" si="17"/>
        <v>-3675</v>
      </c>
      <c r="T35" s="83">
        <f t="shared" si="12"/>
        <v>-0.19829493336211082</v>
      </c>
      <c r="U35" s="30"/>
      <c r="V35" s="84">
        <f t="shared" si="13"/>
        <v>3742</v>
      </c>
      <c r="W35" s="83">
        <f t="shared" si="14"/>
        <v>0.2518508547583793</v>
      </c>
    </row>
    <row r="36" spans="1:23" s="26" customFormat="1" ht="12.75">
      <c r="A36" s="75">
        <v>4430</v>
      </c>
      <c r="B36" s="76" t="s">
        <v>36</v>
      </c>
      <c r="C36" s="30"/>
      <c r="D36" s="84">
        <v>1594.77</v>
      </c>
      <c r="E36" s="106">
        <f t="shared" si="9"/>
        <v>0.002515583090572159</v>
      </c>
      <c r="F36" s="30"/>
      <c r="G36" s="84">
        <v>1464</v>
      </c>
      <c r="H36" s="106">
        <f t="shared" si="10"/>
        <v>0.0023535316398087015</v>
      </c>
      <c r="I36" s="30"/>
      <c r="J36" s="111">
        <f>IF(ISERROR(VLOOKUP(A36,'[4]FY2009 Actual'!$C$8:$L$54,10,FALSE)),0,VLOOKUP(A36,'[4]FY2009 Actual'!$C$8:$L$54,10,FALSE))</f>
        <v>3566</v>
      </c>
      <c r="K36" s="106">
        <f t="shared" si="15"/>
        <v>0.00557160512537674</v>
      </c>
      <c r="L36" s="30"/>
      <c r="M36" s="111">
        <v>2102</v>
      </c>
      <c r="N36" s="106">
        <f t="shared" si="11"/>
        <v>0.003307153016400458</v>
      </c>
      <c r="O36" s="30"/>
      <c r="P36" s="111">
        <f>IF(ISERROR(VLOOKUP(A36,'[4]FY2011 Budget'!$C$8:$L$54,10,FALSE)),0,VLOOKUP(A36,'[4]FY2011 Budget'!$C$8:$L$54,10,FALSE))</f>
        <v>2750</v>
      </c>
      <c r="Q36" s="112">
        <f t="shared" si="16"/>
        <v>0.004250208046107416</v>
      </c>
      <c r="R36" s="30"/>
      <c r="S36" s="84">
        <f t="shared" si="17"/>
        <v>-1464</v>
      </c>
      <c r="T36" s="83">
        <f t="shared" si="12"/>
        <v>-0.4105440269209198</v>
      </c>
      <c r="U36" s="30"/>
      <c r="V36" s="84">
        <f t="shared" si="13"/>
        <v>648</v>
      </c>
      <c r="W36" s="83">
        <f t="shared" si="14"/>
        <v>0.3082778306374881</v>
      </c>
    </row>
    <row r="37" spans="1:23" s="26" customFormat="1" ht="12.75">
      <c r="A37" s="75">
        <v>4450</v>
      </c>
      <c r="B37" s="76" t="s">
        <v>13</v>
      </c>
      <c r="C37" s="30"/>
      <c r="D37" s="84">
        <v>54333.27</v>
      </c>
      <c r="E37" s="106">
        <f t="shared" si="9"/>
        <v>0.08570505795035746</v>
      </c>
      <c r="F37" s="30"/>
      <c r="G37" s="84">
        <v>39109.44</v>
      </c>
      <c r="H37" s="106">
        <f t="shared" si="10"/>
        <v>0.06287247572076504</v>
      </c>
      <c r="I37" s="30"/>
      <c r="J37" s="111">
        <f>IF(ISERROR(VLOOKUP(A37,'[4]FY2009 Actual'!$C$8:$L$54,10,FALSE)),0,VLOOKUP(A37,'[4]FY2009 Actual'!$C$8:$L$54,10,FALSE))</f>
        <v>38235</v>
      </c>
      <c r="K37" s="106">
        <f t="shared" si="15"/>
        <v>0.059739293877952786</v>
      </c>
      <c r="L37" s="30"/>
      <c r="M37" s="111">
        <v>46790</v>
      </c>
      <c r="N37" s="106">
        <f t="shared" si="11"/>
        <v>0.07361640801017004</v>
      </c>
      <c r="O37" s="30"/>
      <c r="P37" s="111">
        <f>IF(ISERROR(VLOOKUP(A37,'[4]FY2011 Budget'!$C$8:$L$54,10,FALSE)),0,VLOOKUP(A37,'[4]FY2011 Budget'!$C$8:$L$54,10,FALSE))</f>
        <v>36000</v>
      </c>
      <c r="Q37" s="112">
        <f t="shared" si="16"/>
        <v>0.05563908714904253</v>
      </c>
      <c r="R37" s="30"/>
      <c r="S37" s="84">
        <f t="shared" si="17"/>
        <v>8555</v>
      </c>
      <c r="T37" s="83">
        <f t="shared" si="12"/>
        <v>0.22374787498365373</v>
      </c>
      <c r="U37" s="30"/>
      <c r="V37" s="84">
        <f t="shared" si="13"/>
        <v>-10790</v>
      </c>
      <c r="W37" s="83">
        <f t="shared" si="14"/>
        <v>-0.23060483009189997</v>
      </c>
    </row>
    <row r="38" spans="1:23" s="26" customFormat="1" ht="12.75">
      <c r="A38" s="75">
        <v>4550</v>
      </c>
      <c r="B38" s="76" t="s">
        <v>37</v>
      </c>
      <c r="C38" s="30"/>
      <c r="D38" s="84">
        <v>8616.02</v>
      </c>
      <c r="E38" s="106">
        <f t="shared" si="9"/>
        <v>0.013590871548895161</v>
      </c>
      <c r="F38" s="30"/>
      <c r="G38" s="84">
        <v>6341.47</v>
      </c>
      <c r="H38" s="106">
        <f t="shared" si="10"/>
        <v>0.010194569868782572</v>
      </c>
      <c r="I38" s="30"/>
      <c r="J38" s="111">
        <f>IF(ISERROR(VLOOKUP(A38,'[4]FY2009 Actual'!$C$8:$L$54,10,FALSE)),0,VLOOKUP(A38,'[4]FY2009 Actual'!$C$8:$L$54,10,FALSE))</f>
        <v>0</v>
      </c>
      <c r="K38" s="106">
        <f t="shared" si="15"/>
        <v>0</v>
      </c>
      <c r="L38" s="30"/>
      <c r="M38" s="111">
        <v>0</v>
      </c>
      <c r="N38" s="106">
        <f t="shared" si="11"/>
        <v>0</v>
      </c>
      <c r="O38" s="30"/>
      <c r="P38" s="111">
        <f>IF(ISERROR(VLOOKUP(A38,'[4]FY2011 Budget'!$C$8:$L$54,10,FALSE)),0,VLOOKUP(A38,'[4]FY2011 Budget'!$C$8:$L$54,10,FALSE))</f>
        <v>0</v>
      </c>
      <c r="Q38" s="112">
        <f t="shared" si="16"/>
        <v>0</v>
      </c>
      <c r="R38" s="30"/>
      <c r="S38" s="84">
        <f t="shared" si="17"/>
        <v>0</v>
      </c>
      <c r="T38" s="83"/>
      <c r="U38" s="30"/>
      <c r="V38" s="84">
        <f t="shared" si="13"/>
        <v>0</v>
      </c>
      <c r="W38" s="83"/>
    </row>
    <row r="39" spans="1:23" s="26" customFormat="1" ht="12.75">
      <c r="A39" s="75">
        <v>4600</v>
      </c>
      <c r="B39" s="76" t="s">
        <v>14</v>
      </c>
      <c r="C39" s="30"/>
      <c r="D39" s="84">
        <v>0</v>
      </c>
      <c r="E39" s="106">
        <f t="shared" si="9"/>
        <v>0</v>
      </c>
      <c r="F39" s="30"/>
      <c r="G39" s="84">
        <v>0</v>
      </c>
      <c r="H39" s="106">
        <f t="shared" si="10"/>
        <v>0</v>
      </c>
      <c r="I39" s="30"/>
      <c r="J39" s="111">
        <f>IF(ISERROR(VLOOKUP(A39,'[4]FY2009 Actual'!$C$8:$L$54,10,FALSE)),0,VLOOKUP(A39,'[4]FY2009 Actual'!$C$8:$L$54,10,FALSE))</f>
        <v>3353</v>
      </c>
      <c r="K39" s="106">
        <f t="shared" si="15"/>
        <v>0.005238808745201404</v>
      </c>
      <c r="L39" s="30"/>
      <c r="M39" s="111">
        <v>0</v>
      </c>
      <c r="N39" s="106">
        <f t="shared" si="11"/>
        <v>0</v>
      </c>
      <c r="O39" s="30"/>
      <c r="P39" s="111">
        <f>IF(ISERROR(VLOOKUP(A39,'[4]FY2011 Budget'!$C$8:$L$54,10,FALSE)),0,VLOOKUP(A39,'[4]FY2011 Budget'!$C$8:$L$54,10,FALSE))</f>
        <v>0</v>
      </c>
      <c r="Q39" s="112">
        <f t="shared" si="16"/>
        <v>0</v>
      </c>
      <c r="R39" s="30"/>
      <c r="S39" s="84">
        <f t="shared" si="17"/>
        <v>-3353</v>
      </c>
      <c r="T39" s="83">
        <f t="shared" si="12"/>
        <v>-1</v>
      </c>
      <c r="U39" s="30"/>
      <c r="V39" s="84">
        <f t="shared" si="13"/>
        <v>0</v>
      </c>
      <c r="W39" s="83"/>
    </row>
    <row r="40" spans="1:23" s="26" customFormat="1" ht="12.75">
      <c r="A40" s="75">
        <v>4650</v>
      </c>
      <c r="B40" s="76" t="s">
        <v>15</v>
      </c>
      <c r="C40" s="30"/>
      <c r="D40" s="84">
        <v>11177.23</v>
      </c>
      <c r="E40" s="106">
        <f t="shared" si="9"/>
        <v>0.017630912788324245</v>
      </c>
      <c r="F40" s="30"/>
      <c r="G40" s="84">
        <v>9463.96</v>
      </c>
      <c r="H40" s="106">
        <f t="shared" si="10"/>
        <v>0.01521429596849997</v>
      </c>
      <c r="I40" s="30"/>
      <c r="J40" s="111">
        <f>IF(ISERROR(VLOOKUP(A40,'[4]FY2009 Actual'!$C$8:$L$54,10,FALSE)),0,VLOOKUP(A40,'[4]FY2009 Actual'!$C$8:$L$54,10,FALSE))</f>
        <v>15801</v>
      </c>
      <c r="K40" s="106">
        <f t="shared" si="15"/>
        <v>0.024687866681457615</v>
      </c>
      <c r="L40" s="30"/>
      <c r="M40" s="111">
        <v>14538</v>
      </c>
      <c r="N40" s="106">
        <f t="shared" si="11"/>
        <v>0.02287316391647472</v>
      </c>
      <c r="O40" s="30"/>
      <c r="P40" s="111">
        <f>IF(ISERROR(VLOOKUP(A40,'[4]FY2011 Budget'!$C$8:$L$54,10,FALSE)),0,VLOOKUP(A40,'[4]FY2011 Budget'!$C$8:$L$54,10,FALSE))</f>
        <v>13500</v>
      </c>
      <c r="Q40" s="112">
        <f t="shared" si="16"/>
        <v>0.02086465768089095</v>
      </c>
      <c r="R40" s="30"/>
      <c r="S40" s="84">
        <f t="shared" si="17"/>
        <v>-1263</v>
      </c>
      <c r="T40" s="83">
        <f t="shared" si="12"/>
        <v>-0.07993164989557623</v>
      </c>
      <c r="U40" s="30"/>
      <c r="V40" s="84">
        <f t="shared" si="13"/>
        <v>-1038</v>
      </c>
      <c r="W40" s="83">
        <f t="shared" si="14"/>
        <v>-0.07139909203466777</v>
      </c>
    </row>
    <row r="41" spans="1:23" s="26" customFormat="1" ht="12.75">
      <c r="A41" s="75">
        <v>4700</v>
      </c>
      <c r="B41" s="76" t="s">
        <v>16</v>
      </c>
      <c r="C41" s="30"/>
      <c r="D41" s="84">
        <v>8667.57</v>
      </c>
      <c r="E41" s="106">
        <f t="shared" si="9"/>
        <v>0.013672186289151745</v>
      </c>
      <c r="F41" s="30"/>
      <c r="G41" s="84">
        <v>9075.3</v>
      </c>
      <c r="H41" s="106">
        <f t="shared" si="10"/>
        <v>0.014589484761445292</v>
      </c>
      <c r="I41" s="30"/>
      <c r="J41" s="111">
        <f>IF(ISERROR(VLOOKUP(A41,'[4]FY2009 Actual'!$C$8:$L$54,10,FALSE)),0,VLOOKUP(A41,'[4]FY2009 Actual'!$C$8:$L$54,10,FALSE))</f>
        <v>14924</v>
      </c>
      <c r="K41" s="106">
        <f t="shared" si="15"/>
        <v>0.023317620552754475</v>
      </c>
      <c r="L41" s="30"/>
      <c r="M41" s="111">
        <v>1654</v>
      </c>
      <c r="N41" s="106">
        <f t="shared" si="11"/>
        <v>0.0026022983297461265</v>
      </c>
      <c r="O41" s="30"/>
      <c r="P41" s="111">
        <f>IF(ISERROR(VLOOKUP(A41,'[4]FY2011 Budget'!$C$8:$L$54,10,FALSE)),0,VLOOKUP(A41,'[4]FY2011 Budget'!$C$8:$L$54,10,FALSE))</f>
        <v>1200</v>
      </c>
      <c r="Q41" s="112">
        <f t="shared" si="16"/>
        <v>0.0018546362383014177</v>
      </c>
      <c r="R41" s="30"/>
      <c r="S41" s="84">
        <f t="shared" si="17"/>
        <v>-13270</v>
      </c>
      <c r="T41" s="83">
        <f t="shared" si="12"/>
        <v>-0.8891718038059502</v>
      </c>
      <c r="U41" s="30"/>
      <c r="V41" s="84">
        <f t="shared" si="13"/>
        <v>-454</v>
      </c>
      <c r="W41" s="83">
        <f t="shared" si="14"/>
        <v>-0.27448609431680776</v>
      </c>
    </row>
    <row r="42" spans="1:23" s="26" customFormat="1" ht="12.75">
      <c r="A42" s="75">
        <v>4750</v>
      </c>
      <c r="B42" s="76" t="s">
        <v>17</v>
      </c>
      <c r="C42" s="30"/>
      <c r="D42" s="84">
        <v>42384</v>
      </c>
      <c r="E42" s="106">
        <f t="shared" si="9"/>
        <v>0.06685633270679182</v>
      </c>
      <c r="F42" s="30"/>
      <c r="G42" s="84">
        <v>42834</v>
      </c>
      <c r="H42" s="106">
        <f t="shared" si="10"/>
        <v>0.06886009170735377</v>
      </c>
      <c r="I42" s="30"/>
      <c r="J42" s="111">
        <f>IF(ISERROR(VLOOKUP(A42,'[4]FY2009 Actual'!$C$8:$L$54,10,FALSE)),0,VLOOKUP(A42,'[4]FY2009 Actual'!$C$8:$L$54,10,FALSE))</f>
        <v>56070</v>
      </c>
      <c r="K42" s="106">
        <f t="shared" si="15"/>
        <v>0.08760513162643685</v>
      </c>
      <c r="L42" s="30"/>
      <c r="M42" s="111">
        <v>56100</v>
      </c>
      <c r="N42" s="106">
        <f t="shared" si="11"/>
        <v>0.08826416946720538</v>
      </c>
      <c r="O42" s="30"/>
      <c r="P42" s="111">
        <f>IF(ISERROR(VLOOKUP(A42,'[4]FY2011 Budget'!$C$8:$L$54,10,FALSE)),0,VLOOKUP(A42,'[4]FY2011 Budget'!$C$8:$L$54,10,FALSE))</f>
        <v>60256</v>
      </c>
      <c r="Q42" s="112">
        <f t="shared" si="16"/>
        <v>0.09312746764590851</v>
      </c>
      <c r="R42" s="30"/>
      <c r="S42" s="84">
        <f t="shared" si="17"/>
        <v>30</v>
      </c>
      <c r="T42" s="83">
        <f t="shared" si="12"/>
        <v>0.0005350454788657035</v>
      </c>
      <c r="U42" s="30"/>
      <c r="V42" s="84">
        <f t="shared" si="13"/>
        <v>4156</v>
      </c>
      <c r="W42" s="83">
        <f t="shared" si="14"/>
        <v>0.07408199643493761</v>
      </c>
    </row>
    <row r="43" spans="1:23" s="26" customFormat="1" ht="12.75">
      <c r="A43" s="75">
        <v>4760</v>
      </c>
      <c r="B43" s="76" t="s">
        <v>18</v>
      </c>
      <c r="C43" s="30"/>
      <c r="D43" s="84">
        <v>15578.75</v>
      </c>
      <c r="E43" s="106">
        <f t="shared" si="9"/>
        <v>0.024573850820024848</v>
      </c>
      <c r="F43" s="30"/>
      <c r="G43" s="84">
        <v>18500</v>
      </c>
      <c r="H43" s="106">
        <f t="shared" si="10"/>
        <v>0.02974066621342963</v>
      </c>
      <c r="I43" s="30"/>
      <c r="J43" s="111">
        <f>IF(ISERROR(VLOOKUP(A43,'[4]FY2009 Actual'!$C$8:$L$54,10,FALSE)),0,VLOOKUP(A43,'[4]FY2009 Actual'!$C$8:$L$54,10,FALSE))</f>
        <v>12000</v>
      </c>
      <c r="K43" s="106">
        <f t="shared" si="15"/>
        <v>0.018749091840863957</v>
      </c>
      <c r="L43" s="30"/>
      <c r="M43" s="111">
        <v>27543</v>
      </c>
      <c r="N43" s="106">
        <f t="shared" si="11"/>
        <v>0.043334403202054145</v>
      </c>
      <c r="O43" s="30"/>
      <c r="P43" s="111">
        <f>IF(ISERROR(VLOOKUP(A43,'[4]FY2011 Budget'!$C$8:$L$54,10,FALSE)),0,VLOOKUP(A43,'[4]FY2011 Budget'!$C$8:$L$54,10,FALSE))</f>
        <v>21089</v>
      </c>
      <c r="Q43" s="112">
        <f t="shared" si="16"/>
        <v>0.032593686357948834</v>
      </c>
      <c r="R43" s="30"/>
      <c r="S43" s="84">
        <f t="shared" si="17"/>
        <v>15543</v>
      </c>
      <c r="T43" s="83">
        <f t="shared" si="12"/>
        <v>1.29525</v>
      </c>
      <c r="U43" s="30"/>
      <c r="V43" s="84">
        <f t="shared" si="13"/>
        <v>-6454</v>
      </c>
      <c r="W43" s="83">
        <f t="shared" si="14"/>
        <v>-0.23432451076498567</v>
      </c>
    </row>
    <row r="44" spans="1:23" s="26" customFormat="1" ht="12.75">
      <c r="A44" s="75">
        <v>4780</v>
      </c>
      <c r="B44" s="76" t="s">
        <v>38</v>
      </c>
      <c r="C44" s="30"/>
      <c r="D44" s="84">
        <v>22691</v>
      </c>
      <c r="E44" s="106">
        <f t="shared" si="9"/>
        <v>0.035792682272787216</v>
      </c>
      <c r="F44" s="30"/>
      <c r="G44" s="84">
        <v>17193</v>
      </c>
      <c r="H44" s="106">
        <f t="shared" si="10"/>
        <v>0.027639528335540304</v>
      </c>
      <c r="I44" s="30"/>
      <c r="J44" s="111">
        <f>IF(ISERROR(VLOOKUP(A44,'[4]FY2009 Actual'!$C$8:$L$54,10,FALSE)),0,VLOOKUP(A44,'[4]FY2009 Actual'!$C$8:$L$54,10,FALSE))</f>
        <v>22659</v>
      </c>
      <c r="K44" s="106">
        <f t="shared" si="15"/>
        <v>0.03540297266851137</v>
      </c>
      <c r="L44" s="30"/>
      <c r="M44" s="111">
        <v>22356</v>
      </c>
      <c r="N44" s="106">
        <f t="shared" si="11"/>
        <v>0.03517350753313447</v>
      </c>
      <c r="O44" s="30"/>
      <c r="P44" s="111">
        <f>IF(ISERROR(VLOOKUP(A44,'[4]FY2011 Budget'!$C$8:$L$54,10,FALSE)),0,VLOOKUP(A44,'[4]FY2011 Budget'!$C$8:$L$54,10,FALSE))</f>
        <v>23742</v>
      </c>
      <c r="Q44" s="112">
        <f t="shared" si="16"/>
        <v>0.03669397797479355</v>
      </c>
      <c r="R44" s="30"/>
      <c r="S44" s="84">
        <f t="shared" si="17"/>
        <v>-303</v>
      </c>
      <c r="T44" s="83">
        <f t="shared" si="12"/>
        <v>-0.013372169998676024</v>
      </c>
      <c r="U44" s="30"/>
      <c r="V44" s="84">
        <f t="shared" si="13"/>
        <v>1386</v>
      </c>
      <c r="W44" s="83">
        <f t="shared" si="14"/>
        <v>0.061996779388083734</v>
      </c>
    </row>
    <row r="45" spans="1:23" s="26" customFormat="1" ht="12.75">
      <c r="A45" s="75">
        <v>4790</v>
      </c>
      <c r="B45" s="76" t="s">
        <v>39</v>
      </c>
      <c r="C45" s="30"/>
      <c r="D45" s="84">
        <v>1000</v>
      </c>
      <c r="E45" s="106">
        <f t="shared" si="9"/>
        <v>0.0015773955432897278</v>
      </c>
      <c r="F45" s="30"/>
      <c r="G45" s="84">
        <v>0</v>
      </c>
      <c r="H45" s="106">
        <f t="shared" si="10"/>
        <v>0</v>
      </c>
      <c r="I45" s="30"/>
      <c r="J45" s="111">
        <f>IF(ISERROR(VLOOKUP(A45,'[4]FY2009 Actual'!$C$8:$L$54,10,FALSE)),0,VLOOKUP(A45,'[4]FY2009 Actual'!$C$8:$L$54,10,FALSE))</f>
        <v>1000</v>
      </c>
      <c r="K45" s="106">
        <f t="shared" si="15"/>
        <v>0.0015624243200719964</v>
      </c>
      <c r="L45" s="30"/>
      <c r="M45" s="111">
        <v>1050</v>
      </c>
      <c r="N45" s="106">
        <f t="shared" si="11"/>
        <v>0.0016520031718460899</v>
      </c>
      <c r="O45" s="30"/>
      <c r="P45" s="111">
        <f>IF(ISERROR(VLOOKUP(A45,'[4]FY2011 Budget'!$C$8:$L$54,10,FALSE)),0,VLOOKUP(A45,'[4]FY2011 Budget'!$C$8:$L$54,10,FALSE))</f>
        <v>1050</v>
      </c>
      <c r="Q45" s="112">
        <f t="shared" si="16"/>
        <v>0.0016228067085137404</v>
      </c>
      <c r="R45" s="30"/>
      <c r="S45" s="84">
        <f t="shared" si="17"/>
        <v>50</v>
      </c>
      <c r="T45" s="83">
        <f t="shared" si="12"/>
        <v>0.05</v>
      </c>
      <c r="U45" s="30"/>
      <c r="V45" s="84">
        <f t="shared" si="13"/>
        <v>0</v>
      </c>
      <c r="W45" s="83">
        <f t="shared" si="14"/>
        <v>0</v>
      </c>
    </row>
    <row r="46" spans="1:23" s="26" customFormat="1" ht="12.75">
      <c r="A46" s="75">
        <v>4800</v>
      </c>
      <c r="B46" s="76" t="s">
        <v>40</v>
      </c>
      <c r="C46" s="30"/>
      <c r="D46" s="84">
        <v>13937.97</v>
      </c>
      <c r="E46" s="106">
        <f t="shared" si="9"/>
        <v>0.021985691760505927</v>
      </c>
      <c r="F46" s="30"/>
      <c r="G46" s="84">
        <v>26952.9</v>
      </c>
      <c r="H46" s="106">
        <f t="shared" si="10"/>
        <v>0.0433295785072404</v>
      </c>
      <c r="I46" s="30"/>
      <c r="J46" s="111">
        <f>IF(ISERROR(VLOOKUP(A46,'[4]FY2009 Actual'!$C$8:$L$54,10,FALSE)),0,VLOOKUP(A46,'[4]FY2009 Actual'!$C$8:$L$54,10,FALSE))</f>
        <v>33484</v>
      </c>
      <c r="K46" s="106">
        <f t="shared" si="15"/>
        <v>0.05231621593329073</v>
      </c>
      <c r="L46" s="30"/>
      <c r="M46" s="111">
        <v>23723</v>
      </c>
      <c r="N46" s="106">
        <f t="shared" si="11"/>
        <v>0.03732425832924266</v>
      </c>
      <c r="O46" s="30"/>
      <c r="P46" s="111">
        <f>IF(ISERROR(VLOOKUP(A46,'[4]FY2011 Budget'!$C$8:$L$54,10,FALSE)),0,VLOOKUP(A46,'[4]FY2011 Budget'!$C$8:$L$54,10,FALSE))</f>
        <v>19450</v>
      </c>
      <c r="Q46" s="112">
        <f t="shared" si="16"/>
        <v>0.03006056236246881</v>
      </c>
      <c r="R46" s="30"/>
      <c r="S46" s="84">
        <f t="shared" si="17"/>
        <v>-9761</v>
      </c>
      <c r="T46" s="83">
        <f t="shared" si="12"/>
        <v>-0.2915123641142038</v>
      </c>
      <c r="U46" s="30"/>
      <c r="V46" s="84">
        <f>P46-M46</f>
        <v>-4273</v>
      </c>
      <c r="W46" s="83">
        <f>(P46-M46)/M46</f>
        <v>-0.18012055810816507</v>
      </c>
    </row>
    <row r="48" spans="2:23" s="129" customFormat="1" ht="13.5" thickBot="1">
      <c r="B48" s="122" t="s">
        <v>20</v>
      </c>
      <c r="C48" s="133"/>
      <c r="D48" s="126">
        <f>SUM(D24:D47)</f>
        <v>633956.4</v>
      </c>
      <c r="E48" s="135">
        <f>SUM(E24:E47)</f>
        <v>1.0000000000000002</v>
      </c>
      <c r="F48" s="134"/>
      <c r="G48" s="126">
        <f>SUM(G24:G47)</f>
        <v>622043.9</v>
      </c>
      <c r="H48" s="135">
        <f>SUM(H24:H47)</f>
        <v>0.9999999999999999</v>
      </c>
      <c r="I48" s="134"/>
      <c r="J48" s="126">
        <f>SUM(J24:J47)</f>
        <v>640031</v>
      </c>
      <c r="K48" s="135">
        <f>SUM(K24:K47)</f>
        <v>0.9999999999999998</v>
      </c>
      <c r="L48" s="134"/>
      <c r="M48" s="126">
        <f>SUM(M24:M47)</f>
        <v>635592</v>
      </c>
      <c r="N48" s="135">
        <f>SUM(N24:N47)</f>
        <v>1</v>
      </c>
      <c r="O48" s="134"/>
      <c r="P48" s="126">
        <f>SUM(P24:P47)</f>
        <v>647027.1502400001</v>
      </c>
      <c r="Q48" s="135">
        <f>SUM(Q24:Q47)</f>
        <v>1</v>
      </c>
      <c r="R48" s="134"/>
      <c r="S48" s="126">
        <f>M48-J48</f>
        <v>-4439</v>
      </c>
      <c r="T48" s="146">
        <f t="shared" si="12"/>
        <v>-0.006935601556799592</v>
      </c>
      <c r="U48" s="134"/>
      <c r="V48" s="126">
        <f>P48-M48</f>
        <v>11435.150240000105</v>
      </c>
      <c r="W48" s="146">
        <f>(P48-M48)/M48</f>
        <v>0.017991337587635</v>
      </c>
    </row>
    <row r="49" spans="3:21" ht="12.75">
      <c r="C49" s="11"/>
      <c r="D49" s="113"/>
      <c r="E49" s="150"/>
      <c r="F49" s="10"/>
      <c r="G49" s="113"/>
      <c r="H49" s="150"/>
      <c r="I49" s="10"/>
      <c r="L49" s="10"/>
      <c r="O49" s="10"/>
      <c r="R49" s="10"/>
      <c r="U49" s="10"/>
    </row>
    <row r="50" spans="2:23" s="20" customFormat="1" ht="13.5" thickBot="1">
      <c r="B50" s="9" t="s">
        <v>72</v>
      </c>
      <c r="C50" s="22"/>
      <c r="D50" s="114">
        <f>D20-D48</f>
        <v>-57384.570000000065</v>
      </c>
      <c r="E50" s="151"/>
      <c r="F50" s="21"/>
      <c r="G50" s="114">
        <f>G20-G48</f>
        <v>-32044.62000000011</v>
      </c>
      <c r="H50" s="151"/>
      <c r="I50" s="21"/>
      <c r="J50" s="114">
        <f>J20-J48</f>
        <v>-8087.459999999963</v>
      </c>
      <c r="K50" s="115"/>
      <c r="L50" s="21"/>
      <c r="M50" s="114">
        <f>M20-M48</f>
        <v>21991</v>
      </c>
      <c r="N50" s="115"/>
      <c r="O50" s="21"/>
      <c r="P50" s="114">
        <f>P20-P48</f>
        <v>8522.849759999895</v>
      </c>
      <c r="Q50" s="115"/>
      <c r="R50" s="21"/>
      <c r="S50" s="119">
        <f>M50-J50</f>
        <v>30078.459999999963</v>
      </c>
      <c r="T50" s="147">
        <f t="shared" si="12"/>
        <v>-3.719147915414741</v>
      </c>
      <c r="U50" s="21"/>
      <c r="V50" s="119">
        <f>P50-M50</f>
        <v>-13468.150240000105</v>
      </c>
      <c r="W50" s="147">
        <f>(P50-M50)/M50</f>
        <v>-0.6124391905779685</v>
      </c>
    </row>
    <row r="51" ht="13.5" thickTop="1"/>
    <row r="52" spans="1:21" ht="12.75">
      <c r="A52" s="19" t="s">
        <v>71</v>
      </c>
      <c r="C52" s="17"/>
      <c r="D52" s="116"/>
      <c r="E52" s="152"/>
      <c r="F52" s="16"/>
      <c r="G52" s="116"/>
      <c r="H52" s="152"/>
      <c r="I52" s="16"/>
      <c r="K52" s="117"/>
      <c r="L52" s="16"/>
      <c r="N52" s="117"/>
      <c r="O52" s="16"/>
      <c r="Q52" s="117"/>
      <c r="R52" s="16"/>
      <c r="U52" s="16"/>
    </row>
    <row r="53" spans="1:21" ht="12.75">
      <c r="A53" s="18"/>
      <c r="C53" s="17"/>
      <c r="D53" s="116"/>
      <c r="E53" s="152"/>
      <c r="F53" s="16"/>
      <c r="G53" s="116"/>
      <c r="H53" s="152"/>
      <c r="I53" s="16"/>
      <c r="K53" s="117"/>
      <c r="L53" s="16"/>
      <c r="N53" s="117"/>
      <c r="O53" s="16"/>
      <c r="Q53" s="117"/>
      <c r="R53" s="16"/>
      <c r="U53" s="16"/>
    </row>
    <row r="54" spans="1:23" ht="12.75">
      <c r="A54" s="15">
        <v>5000</v>
      </c>
      <c r="B54" s="12" t="s">
        <v>70</v>
      </c>
      <c r="J54" s="111">
        <f>IF(ISERROR(VLOOKUP(A54,'[3]C-1 Page 6'!$E$10:$F$25,2,FALSE)),0,VLOOKUP(A54,'[3]C-1 Page 6'!$E$10:$F$25,2,FALSE))</f>
        <v>0</v>
      </c>
      <c r="K54" s="117"/>
      <c r="M54" s="111">
        <v>0</v>
      </c>
      <c r="N54" s="117"/>
      <c r="P54" s="111">
        <f>IF(ISERROR(VLOOKUP(A54,'[2]C-1'!$C$9:$D$39,2,FALSE)),0,VLOOKUP(A54,'[2]C-1'!$C$9:$D$39,2,FALSE))</f>
        <v>0</v>
      </c>
      <c r="Q54" s="117"/>
      <c r="S54" s="84">
        <f aca="true" t="shared" si="18" ref="S54:S64">M54-J54</f>
        <v>0</v>
      </c>
      <c r="T54" s="83"/>
      <c r="V54" s="84">
        <f aca="true" t="shared" si="19" ref="V54:V63">P54-M54</f>
        <v>0</v>
      </c>
      <c r="W54" s="83"/>
    </row>
    <row r="55" spans="1:23" ht="12.75">
      <c r="A55" s="15">
        <v>5010</v>
      </c>
      <c r="B55" s="12" t="s">
        <v>69</v>
      </c>
      <c r="J55" s="111">
        <f>IF(ISERROR(VLOOKUP(A55,'[3]C-1 Page 6'!$E$10:$F$25,2,FALSE)),0,VLOOKUP(A55,'[3]C-1 Page 6'!$E$10:$F$25,2,FALSE))</f>
        <v>600</v>
      </c>
      <c r="K55" s="117"/>
      <c r="M55" s="111">
        <v>3730</v>
      </c>
      <c r="N55" s="117"/>
      <c r="P55" s="111">
        <f>IF(ISERROR(VLOOKUP(A55,'[2]C-1'!$C$9:$D$39,2,FALSE)),0,VLOOKUP(A55,'[2]C-1'!$C$9:$D$39,2,FALSE))</f>
        <v>5000</v>
      </c>
      <c r="Q55" s="117"/>
      <c r="S55" s="84">
        <f t="shared" si="18"/>
        <v>3130</v>
      </c>
      <c r="T55" s="83">
        <f>(M55-J55)/J55</f>
        <v>5.216666666666667</v>
      </c>
      <c r="V55" s="84">
        <f t="shared" si="19"/>
        <v>1270</v>
      </c>
      <c r="W55" s="83">
        <f>(P55-M55)/M55</f>
        <v>0.34048257372654156</v>
      </c>
    </row>
    <row r="56" spans="1:23" ht="12.75">
      <c r="A56" s="15">
        <v>5020</v>
      </c>
      <c r="B56" s="12" t="s">
        <v>68</v>
      </c>
      <c r="J56" s="111">
        <f>IF(ISERROR(VLOOKUP(A56,'[3]C-1 Page 6'!$E$10:$F$25,2,FALSE)),0,VLOOKUP(A56,'[3]C-1 Page 6'!$E$10:$F$25,2,FALSE))</f>
        <v>0</v>
      </c>
      <c r="K56" s="117"/>
      <c r="M56" s="111">
        <v>0</v>
      </c>
      <c r="N56" s="117"/>
      <c r="P56" s="111">
        <f>IF(ISERROR(VLOOKUP(A56,'[2]C-1'!$C$9:$D$39,2,FALSE)),0,VLOOKUP(A56,'[2]C-1'!$C$9:$D$39,2,FALSE))</f>
        <v>0</v>
      </c>
      <c r="Q56" s="117"/>
      <c r="S56" s="84">
        <f t="shared" si="18"/>
        <v>0</v>
      </c>
      <c r="T56" s="83"/>
      <c r="V56" s="84">
        <f t="shared" si="19"/>
        <v>0</v>
      </c>
      <c r="W56" s="83"/>
    </row>
    <row r="57" spans="1:23" ht="12.75">
      <c r="A57" s="15">
        <v>5030</v>
      </c>
      <c r="B57" s="12" t="s">
        <v>67</v>
      </c>
      <c r="J57" s="111">
        <f>IF(ISERROR(VLOOKUP(A57,'[3]C-1 Page 6'!$E$10:$F$25,2,FALSE)),0,VLOOKUP(A57,'[3]C-1 Page 6'!$E$10:$F$25,2,FALSE))</f>
        <v>19102</v>
      </c>
      <c r="K57" s="117"/>
      <c r="M57" s="111">
        <v>11732</v>
      </c>
      <c r="N57" s="117"/>
      <c r="P57" s="111">
        <f>IF(ISERROR(VLOOKUP(A57,'[2]C-1'!$C$9:$D$39,2,FALSE)),0,VLOOKUP(A57,'[2]C-1'!$C$9:$D$39,2,FALSE))</f>
        <v>17000</v>
      </c>
      <c r="Q57" s="117"/>
      <c r="S57" s="84">
        <f t="shared" si="18"/>
        <v>-7370</v>
      </c>
      <c r="T57" s="83">
        <f>(M57-J57)/J57</f>
        <v>-0.385823473981782</v>
      </c>
      <c r="V57" s="84">
        <f t="shared" si="19"/>
        <v>5268</v>
      </c>
      <c r="W57" s="83">
        <f>(P57-M57)/M57</f>
        <v>0.4490282986703034</v>
      </c>
    </row>
    <row r="58" spans="1:23" ht="12.75">
      <c r="A58" s="15">
        <v>5050</v>
      </c>
      <c r="B58" s="12" t="s">
        <v>66</v>
      </c>
      <c r="J58" s="111">
        <f>IF(ISERROR(VLOOKUP(A58,'[3]C-1 Page 6'!$E$10:$F$25,2,FALSE)),0,VLOOKUP(A58,'[3]C-1 Page 6'!$E$10:$F$25,2,FALSE))</f>
        <v>990</v>
      </c>
      <c r="K58" s="117"/>
      <c r="M58" s="111">
        <v>1165</v>
      </c>
      <c r="N58" s="117"/>
      <c r="P58" s="111">
        <f>IF(ISERROR(VLOOKUP(A58,'[2]C-1'!$C$9:$D$39,2,FALSE)),0,VLOOKUP(A58,'[2]C-1'!$C$9:$D$39,2,FALSE))</f>
        <v>3000</v>
      </c>
      <c r="Q58" s="117"/>
      <c r="S58" s="84">
        <f t="shared" si="18"/>
        <v>175</v>
      </c>
      <c r="T58" s="83">
        <f>(M58-J58)/J58</f>
        <v>0.17676767676767677</v>
      </c>
      <c r="V58" s="84">
        <f t="shared" si="19"/>
        <v>1835</v>
      </c>
      <c r="W58" s="83">
        <f>(P58-M58)/M58</f>
        <v>1.5751072961373391</v>
      </c>
    </row>
    <row r="59" spans="1:23" ht="12.75">
      <c r="A59" s="15">
        <v>5110</v>
      </c>
      <c r="B59" s="12" t="s">
        <v>78</v>
      </c>
      <c r="J59" s="111">
        <f>IF(ISERROR(VLOOKUP(A59,'[3]C-1 Page 6'!$E$10:$F$25,2,FALSE)),0,VLOOKUP(A59,'[3]C-1 Page 6'!$E$10:$F$25,2,FALSE))</f>
        <v>0</v>
      </c>
      <c r="K59" s="117"/>
      <c r="M59" s="111">
        <v>0</v>
      </c>
      <c r="N59" s="117"/>
      <c r="P59" s="111">
        <f>IF(ISERROR(VLOOKUP(A59,'[2]C-1'!$C$9:$D$39,2,FALSE)),0,VLOOKUP(A59,'[2]C-1'!$C$9:$D$39,2,FALSE))</f>
        <v>0</v>
      </c>
      <c r="Q59" s="117"/>
      <c r="S59" s="84">
        <f t="shared" si="18"/>
        <v>0</v>
      </c>
      <c r="T59" s="83"/>
      <c r="V59" s="84">
        <f t="shared" si="19"/>
        <v>0</v>
      </c>
      <c r="W59" s="83"/>
    </row>
    <row r="60" spans="1:23" ht="12.75">
      <c r="A60" s="15">
        <v>5111</v>
      </c>
      <c r="B60" s="12" t="s">
        <v>65</v>
      </c>
      <c r="J60" s="111">
        <f>IF(ISERROR(VLOOKUP(A60,'[3]C-1 Page 6'!$E$10:$F$25,2,FALSE)),0,VLOOKUP(A60,'[3]C-1 Page 6'!$E$10:$F$25,2,FALSE))</f>
        <v>0</v>
      </c>
      <c r="K60" s="117"/>
      <c r="M60" s="111">
        <v>0</v>
      </c>
      <c r="N60" s="117"/>
      <c r="P60" s="111">
        <f>IF(ISERROR(VLOOKUP(A60,'[2]C-1'!$C$9:$D$39,2,FALSE)),0,VLOOKUP(A60,'[2]C-1'!$C$9:$D$39,2,FALSE))</f>
        <v>0</v>
      </c>
      <c r="Q60" s="117"/>
      <c r="S60" s="84">
        <f t="shared" si="18"/>
        <v>0</v>
      </c>
      <c r="T60" s="83"/>
      <c r="V60" s="84">
        <f t="shared" si="19"/>
        <v>0</v>
      </c>
      <c r="W60" s="83"/>
    </row>
    <row r="61" spans="1:23" ht="12.75">
      <c r="A61" s="15">
        <v>5112</v>
      </c>
      <c r="B61" s="12" t="s">
        <v>64</v>
      </c>
      <c r="J61" s="111">
        <f>IF(ISERROR(VLOOKUP(A61,'[3]C-1 Page 6'!$E$10:$F$25,2,FALSE)),0,VLOOKUP(A61,'[3]C-1 Page 6'!$E$10:$F$25,2,FALSE))</f>
        <v>0</v>
      </c>
      <c r="K61" s="117"/>
      <c r="M61" s="111">
        <v>0</v>
      </c>
      <c r="N61" s="117"/>
      <c r="P61" s="111">
        <f>IF(ISERROR(VLOOKUP(A61,'[2]C-1'!$C$9:$D$39,2,FALSE)),0,VLOOKUP(A61,'[2]C-1'!$C$9:$D$39,2,FALSE))</f>
        <v>0</v>
      </c>
      <c r="Q61" s="117"/>
      <c r="S61" s="84">
        <f t="shared" si="18"/>
        <v>0</v>
      </c>
      <c r="T61" s="83"/>
      <c r="V61" s="84">
        <f t="shared" si="19"/>
        <v>0</v>
      </c>
      <c r="W61" s="83"/>
    </row>
    <row r="62" spans="1:23" ht="12.75">
      <c r="A62" s="15">
        <v>5113</v>
      </c>
      <c r="B62" s="12" t="s">
        <v>63</v>
      </c>
      <c r="J62" s="111">
        <f>IF(ISERROR(VLOOKUP(A62,'[3]C-1 Page 6'!$E$10:$F$25,2,FALSE)),0,VLOOKUP(A62,'[3]C-1 Page 6'!$E$10:$F$25,2,FALSE))</f>
        <v>0</v>
      </c>
      <c r="K62" s="117"/>
      <c r="M62" s="111">
        <v>0</v>
      </c>
      <c r="N62" s="117"/>
      <c r="P62" s="111">
        <f>IF(ISERROR(VLOOKUP(A62,'[2]C-1'!$C$9:$D$39,2,FALSE)),0,VLOOKUP(A62,'[2]C-1'!$C$9:$D$39,2,FALSE))</f>
        <v>0</v>
      </c>
      <c r="Q62" s="117"/>
      <c r="S62" s="84">
        <f t="shared" si="18"/>
        <v>0</v>
      </c>
      <c r="T62" s="83"/>
      <c r="V62" s="84">
        <f t="shared" si="19"/>
        <v>0</v>
      </c>
      <c r="W62" s="83"/>
    </row>
    <row r="63" spans="1:23" ht="12.75">
      <c r="A63" s="15">
        <v>5114</v>
      </c>
      <c r="B63" s="12" t="s">
        <v>62</v>
      </c>
      <c r="J63" s="111">
        <f>IF(ISERROR(VLOOKUP(A63,'[3]C-1 Page 6'!$E$10:$F$25,2,FALSE)),0,VLOOKUP(A63,'[3]C-1 Page 6'!$E$10:$F$25,2,FALSE))</f>
        <v>0</v>
      </c>
      <c r="K63" s="117"/>
      <c r="M63" s="111">
        <v>0</v>
      </c>
      <c r="N63" s="117"/>
      <c r="P63" s="111">
        <f>IF(ISERROR(VLOOKUP(A63,'[2]C-1'!$C$9:$D$39,2,FALSE)),0,VLOOKUP(A63,'[2]C-1'!$C$9:$D$39,2,FALSE))</f>
        <v>0</v>
      </c>
      <c r="Q63" s="117"/>
      <c r="S63" s="84">
        <f t="shared" si="18"/>
        <v>0</v>
      </c>
      <c r="T63" s="83"/>
      <c r="V63" s="84">
        <f t="shared" si="19"/>
        <v>0</v>
      </c>
      <c r="W63" s="83"/>
    </row>
    <row r="64" spans="1:23" ht="12.75">
      <c r="A64" s="15">
        <v>5060</v>
      </c>
      <c r="B64" s="12" t="s">
        <v>61</v>
      </c>
      <c r="C64" s="17"/>
      <c r="D64" s="116"/>
      <c r="E64" s="152"/>
      <c r="F64" s="16"/>
      <c r="G64" s="116"/>
      <c r="H64" s="152"/>
      <c r="I64" s="16"/>
      <c r="J64" s="111">
        <f>IF(ISERROR(VLOOKUP(A64,'[3]C-1 Page 6'!$E$10:$F$25,2,FALSE)),0,VLOOKUP(A64,'[3]C-1 Page 6'!$E$10:$F$25,2,FALSE))</f>
        <v>141270</v>
      </c>
      <c r="K64" s="117"/>
      <c r="L64" s="16"/>
      <c r="M64" s="111">
        <v>0</v>
      </c>
      <c r="N64" s="117"/>
      <c r="O64" s="16"/>
      <c r="P64" s="111">
        <f>IF(ISERROR(VLOOKUP(A64,'[2]C-1'!$C$9:$D$39,2,FALSE)),0,VLOOKUP(A64,'[2]C-1'!$C$9:$D$39,2,FALSE))</f>
        <v>0</v>
      </c>
      <c r="Q64" s="117"/>
      <c r="R64" s="16"/>
      <c r="S64" s="84">
        <f t="shared" si="18"/>
        <v>-141270</v>
      </c>
      <c r="T64" s="83">
        <f>(M64-J64)/J64</f>
        <v>-1</v>
      </c>
      <c r="U64" s="16"/>
      <c r="V64" s="84">
        <f>P64-M64</f>
        <v>0</v>
      </c>
      <c r="W64" s="83" t="e">
        <f>(P64-M64)/M64</f>
        <v>#DIV/0!</v>
      </c>
    </row>
    <row r="65" spans="1:21" ht="12.75">
      <c r="A65" s="15"/>
      <c r="B65" s="12"/>
      <c r="C65" s="17"/>
      <c r="D65" s="116"/>
      <c r="E65" s="152"/>
      <c r="F65" s="16"/>
      <c r="G65" s="116"/>
      <c r="H65" s="152"/>
      <c r="I65" s="16"/>
      <c r="K65" s="117"/>
      <c r="L65" s="16"/>
      <c r="N65" s="117"/>
      <c r="O65" s="16"/>
      <c r="Q65" s="117"/>
      <c r="R65" s="16"/>
      <c r="U65" s="16"/>
    </row>
    <row r="66" spans="2:23" s="121" customFormat="1" ht="13.5" thickBot="1">
      <c r="B66" s="122" t="s">
        <v>60</v>
      </c>
      <c r="C66" s="123"/>
      <c r="D66" s="124"/>
      <c r="E66" s="153"/>
      <c r="F66" s="125"/>
      <c r="G66" s="124"/>
      <c r="H66" s="153"/>
      <c r="I66" s="125"/>
      <c r="J66" s="126">
        <f>SUM(J54:J64)</f>
        <v>161962</v>
      </c>
      <c r="K66" s="127"/>
      <c r="L66" s="125"/>
      <c r="M66" s="126">
        <f>SUM(M54:M64)</f>
        <v>16627</v>
      </c>
      <c r="N66" s="127"/>
      <c r="O66" s="125"/>
      <c r="P66" s="126">
        <f>SUM(P54:P64)</f>
        <v>25000</v>
      </c>
      <c r="Q66" s="127"/>
      <c r="R66" s="125"/>
      <c r="S66" s="126">
        <f>M66-J66</f>
        <v>-145335</v>
      </c>
      <c r="T66" s="146">
        <f>(M66-J66)/J66</f>
        <v>-0.8973401168175251</v>
      </c>
      <c r="U66" s="125"/>
      <c r="V66" s="126">
        <f>P66-M66</f>
        <v>8373</v>
      </c>
      <c r="W66" s="146">
        <f>(P66-M66)/M66</f>
        <v>0.503578516870151</v>
      </c>
    </row>
    <row r="67" spans="3:21" ht="12.75">
      <c r="C67" s="11"/>
      <c r="D67" s="113"/>
      <c r="E67" s="150"/>
      <c r="F67" s="10"/>
      <c r="G67" s="113"/>
      <c r="H67" s="150"/>
      <c r="I67" s="10"/>
      <c r="K67" s="117"/>
      <c r="L67" s="10"/>
      <c r="N67" s="117"/>
      <c r="O67" s="10"/>
      <c r="Q67" s="117"/>
      <c r="R67" s="10"/>
      <c r="U67" s="10"/>
    </row>
    <row r="68" spans="1:21" ht="12.75">
      <c r="A68" s="19" t="s">
        <v>59</v>
      </c>
      <c r="C68" s="17"/>
      <c r="D68" s="116"/>
      <c r="E68" s="152"/>
      <c r="F68" s="16"/>
      <c r="G68" s="116"/>
      <c r="H68" s="152"/>
      <c r="I68" s="16"/>
      <c r="K68" s="117"/>
      <c r="L68" s="16"/>
      <c r="N68" s="117"/>
      <c r="O68" s="16"/>
      <c r="Q68" s="117"/>
      <c r="R68" s="16"/>
      <c r="U68" s="16"/>
    </row>
    <row r="69" spans="2:21" ht="12.75">
      <c r="B69" s="18"/>
      <c r="C69" s="17"/>
      <c r="D69" s="116"/>
      <c r="E69" s="152"/>
      <c r="F69" s="16"/>
      <c r="G69" s="116"/>
      <c r="H69" s="152"/>
      <c r="I69" s="16"/>
      <c r="K69" s="117"/>
      <c r="L69" s="16"/>
      <c r="N69" s="117"/>
      <c r="O69" s="16"/>
      <c r="Q69" s="117"/>
      <c r="R69" s="16"/>
      <c r="U69" s="16"/>
    </row>
    <row r="70" spans="1:23" ht="12.75">
      <c r="A70" s="15">
        <v>6000</v>
      </c>
      <c r="B70" s="12" t="s">
        <v>58</v>
      </c>
      <c r="J70" s="111">
        <f>IF(ISERROR(VLOOKUP(A70,'[3]C-1 Page 6'!$M$10:$N$14,2,FALSE)),0,VLOOKUP(A70,'[3]C-1 Page 6'!$M$10:$N$14,2,FALSE))</f>
        <v>0</v>
      </c>
      <c r="K70" s="117"/>
      <c r="M70" s="111">
        <v>0</v>
      </c>
      <c r="N70" s="117"/>
      <c r="P70" s="111">
        <f>IF(ISERROR(VLOOKUP(A70,'[2]C-1'!$C$9:$D$39,2,FALSE)),0,VLOOKUP(A70,'[2]C-1'!$C$9:$D$39,2,FALSE))</f>
        <v>0</v>
      </c>
      <c r="Q70" s="117"/>
      <c r="S70" s="84">
        <f>M70-J70</f>
        <v>0</v>
      </c>
      <c r="T70" s="83"/>
      <c r="V70" s="84">
        <f aca="true" t="shared" si="20" ref="V70:V76">P70-M70</f>
        <v>0</v>
      </c>
      <c r="W70" s="83"/>
    </row>
    <row r="71" spans="1:23" ht="12.75">
      <c r="A71" s="15">
        <v>6010</v>
      </c>
      <c r="B71" s="12" t="s">
        <v>57</v>
      </c>
      <c r="J71" s="111">
        <f>IF(ISERROR(VLOOKUP(A71,'[3]C-1 Page 6'!$M$10:$N$14,2,FALSE)),0,VLOOKUP(A71,'[3]C-1 Page 6'!$M$10:$N$14,2,FALSE))</f>
        <v>590</v>
      </c>
      <c r="K71" s="117"/>
      <c r="M71" s="111">
        <v>5503</v>
      </c>
      <c r="N71" s="117"/>
      <c r="P71" s="111">
        <f>IF(ISERROR(VLOOKUP(A71,'[2]C-1'!$C$9:$D$39,2,FALSE)),0,VLOOKUP(A71,'[2]C-1'!$C$9:$D$39,2,FALSE))</f>
        <v>5000</v>
      </c>
      <c r="Q71" s="117"/>
      <c r="S71" s="84">
        <f>M71-J71</f>
        <v>4913</v>
      </c>
      <c r="T71" s="83">
        <f>(M71-J71)/J71</f>
        <v>8.327118644067797</v>
      </c>
      <c r="V71" s="84">
        <f t="shared" si="20"/>
        <v>-503</v>
      </c>
      <c r="W71" s="83">
        <f>(P71-M71)/M71</f>
        <v>-0.09140468835180811</v>
      </c>
    </row>
    <row r="72" spans="1:23" ht="12.75">
      <c r="A72" s="15">
        <v>6020</v>
      </c>
      <c r="B72" s="12" t="s">
        <v>56</v>
      </c>
      <c r="J72" s="111">
        <f>IF(ISERROR(VLOOKUP(A72,'[3]C-1 Page 6'!$M$10:$N$14,2,FALSE)),0,VLOOKUP(A72,'[3]C-1 Page 6'!$M$10:$N$14,2,FALSE))</f>
        <v>0</v>
      </c>
      <c r="K72" s="117"/>
      <c r="M72" s="111">
        <v>2250</v>
      </c>
      <c r="N72" s="117"/>
      <c r="P72" s="111">
        <f>IF(ISERROR(VLOOKUP(A72,'[2]C-1'!$C$9:$D$39,2,FALSE)),0,VLOOKUP(A72,'[2]C-1'!$C$9:$D$39,2,FALSE))</f>
        <v>0</v>
      </c>
      <c r="Q72" s="117"/>
      <c r="S72" s="84">
        <f>M72-J72</f>
        <v>2250</v>
      </c>
      <c r="T72" s="83"/>
      <c r="V72" s="84">
        <f t="shared" si="20"/>
        <v>-2250</v>
      </c>
      <c r="W72" s="83"/>
    </row>
    <row r="73" spans="1:23" ht="12.75">
      <c r="A73" s="15">
        <v>6030</v>
      </c>
      <c r="B73" s="12" t="s">
        <v>55</v>
      </c>
      <c r="J73" s="111">
        <f>IF(ISERROR(VLOOKUP(A73,'[3]C-1 Page 6'!$M$10:$N$14,2,FALSE)),0,VLOOKUP(A73,'[3]C-1 Page 6'!$M$10:$N$14,2,FALSE))</f>
        <v>23843</v>
      </c>
      <c r="K73" s="117"/>
      <c r="M73" s="111">
        <v>12858</v>
      </c>
      <c r="N73" s="117"/>
      <c r="P73" s="111">
        <f>IF(ISERROR(VLOOKUP(A73,'[2]C-1'!$C$9:$D$39,2,FALSE)),0,VLOOKUP(A73,'[2]C-1'!$C$9:$D$39,2,FALSE))</f>
        <v>17000</v>
      </c>
      <c r="Q73" s="117"/>
      <c r="S73" s="84">
        <f>M73-J73</f>
        <v>-10985</v>
      </c>
      <c r="T73" s="83">
        <f>(M73-J73)/J73</f>
        <v>-0.4607222245522795</v>
      </c>
      <c r="V73" s="84">
        <f t="shared" si="20"/>
        <v>4142</v>
      </c>
      <c r="W73" s="83">
        <f>(P73-M73)/M73</f>
        <v>0.3221340799502255</v>
      </c>
    </row>
    <row r="74" spans="1:23" ht="12.75">
      <c r="A74" s="15">
        <v>6060</v>
      </c>
      <c r="B74" s="12" t="s">
        <v>54</v>
      </c>
      <c r="J74" s="111">
        <f>IF(ISERROR(VLOOKUP(A74,'[3]C-1 Page 6'!$M$10:$N$14,2,FALSE)),0,VLOOKUP(A74,'[3]C-1 Page 6'!$M$10:$N$14,2,FALSE))</f>
        <v>3918</v>
      </c>
      <c r="K74" s="117"/>
      <c r="M74" s="111">
        <v>0</v>
      </c>
      <c r="N74" s="117"/>
      <c r="P74" s="111">
        <f>IF(ISERROR(VLOOKUP(A74,'[2]C-1'!$C$9:$D$39,2,FALSE)),0,VLOOKUP(A74,'[2]C-1'!$C$9:$D$39,2,FALSE))</f>
        <v>0</v>
      </c>
      <c r="Q74" s="117"/>
      <c r="S74" s="84">
        <f>M74-J74</f>
        <v>-3918</v>
      </c>
      <c r="T74" s="83">
        <f>(M74-J74)/J74</f>
        <v>-1</v>
      </c>
      <c r="V74" s="84">
        <f t="shared" si="20"/>
        <v>0</v>
      </c>
      <c r="W74" s="83" t="e">
        <f>(P74-M74)/M74</f>
        <v>#DIV/0!</v>
      </c>
    </row>
    <row r="75" spans="2:23" ht="12.75">
      <c r="B75" s="12"/>
      <c r="C75" s="17"/>
      <c r="D75" s="116"/>
      <c r="E75" s="152"/>
      <c r="F75" s="16"/>
      <c r="G75" s="116"/>
      <c r="H75" s="152"/>
      <c r="I75" s="16"/>
      <c r="K75" s="117"/>
      <c r="L75" s="16"/>
      <c r="N75" s="117"/>
      <c r="O75" s="16"/>
      <c r="Q75" s="117"/>
      <c r="R75" s="16"/>
      <c r="U75" s="16"/>
      <c r="V75" s="84">
        <f t="shared" si="20"/>
        <v>0</v>
      </c>
      <c r="W75" s="83"/>
    </row>
    <row r="76" spans="2:23" s="121" customFormat="1" ht="13.5" thickBot="1">
      <c r="B76" s="122" t="s">
        <v>53</v>
      </c>
      <c r="C76" s="123"/>
      <c r="D76" s="124"/>
      <c r="E76" s="153"/>
      <c r="F76" s="125"/>
      <c r="G76" s="124"/>
      <c r="H76" s="153"/>
      <c r="I76" s="125"/>
      <c r="J76" s="126">
        <f>SUM(J70:J75)</f>
        <v>28351</v>
      </c>
      <c r="K76" s="127"/>
      <c r="L76" s="125"/>
      <c r="M76" s="126">
        <f>SUM(M70:M75)</f>
        <v>20611</v>
      </c>
      <c r="N76" s="127"/>
      <c r="O76" s="125"/>
      <c r="P76" s="126">
        <f>SUM(P70:P75)</f>
        <v>22000</v>
      </c>
      <c r="Q76" s="127"/>
      <c r="R76" s="125"/>
      <c r="S76" s="126">
        <f>M76-J76</f>
        <v>-7740</v>
      </c>
      <c r="T76" s="146">
        <f>(M76-J76)/J76</f>
        <v>-0.2730062431660259</v>
      </c>
      <c r="U76" s="125"/>
      <c r="V76" s="126">
        <f t="shared" si="20"/>
        <v>1389</v>
      </c>
      <c r="W76" s="146">
        <f>(P76-M76)/M76</f>
        <v>0.06739119887438746</v>
      </c>
    </row>
    <row r="77" spans="2:21" ht="12.75">
      <c r="B77" s="12"/>
      <c r="C77" s="17"/>
      <c r="D77" s="116"/>
      <c r="E77" s="152"/>
      <c r="F77" s="16"/>
      <c r="G77" s="116"/>
      <c r="H77" s="152"/>
      <c r="I77" s="16"/>
      <c r="K77" s="117"/>
      <c r="L77" s="16"/>
      <c r="N77" s="117"/>
      <c r="O77" s="16"/>
      <c r="Q77" s="117"/>
      <c r="R77" s="16"/>
      <c r="U77" s="16"/>
    </row>
    <row r="78" spans="2:23" s="6" customFormat="1" ht="13.5" thickBot="1">
      <c r="B78" s="9" t="s">
        <v>52</v>
      </c>
      <c r="C78" s="8"/>
      <c r="D78" s="118"/>
      <c r="E78" s="154"/>
      <c r="F78" s="7"/>
      <c r="G78" s="118"/>
      <c r="H78" s="154"/>
      <c r="I78" s="7"/>
      <c r="J78" s="119">
        <f>J66-J76</f>
        <v>133611</v>
      </c>
      <c r="K78" s="120"/>
      <c r="L78" s="7"/>
      <c r="M78" s="119">
        <f>M66-M76</f>
        <v>-3984</v>
      </c>
      <c r="N78" s="120"/>
      <c r="O78" s="7"/>
      <c r="P78" s="119">
        <f>P66-P76</f>
        <v>3000</v>
      </c>
      <c r="Q78" s="120"/>
      <c r="R78" s="7"/>
      <c r="S78" s="119">
        <f>M78-J78</f>
        <v>-137595</v>
      </c>
      <c r="T78" s="147">
        <f>(M78-J78)/J78</f>
        <v>-1.0298179042144733</v>
      </c>
      <c r="U78" s="7"/>
      <c r="V78" s="119">
        <f>P78-M78</f>
        <v>6984</v>
      </c>
      <c r="W78" s="147">
        <f>(P78-M78)/M78</f>
        <v>-1.7530120481927711</v>
      </c>
    </row>
    <row r="79" spans="2:21" ht="13.5" thickTop="1">
      <c r="B79" s="12"/>
      <c r="C79" s="17"/>
      <c r="D79" s="116"/>
      <c r="E79" s="152"/>
      <c r="F79" s="16"/>
      <c r="G79" s="116"/>
      <c r="H79" s="152"/>
      <c r="I79" s="16"/>
      <c r="K79" s="117"/>
      <c r="L79" s="16"/>
      <c r="N79" s="117"/>
      <c r="O79" s="16"/>
      <c r="Q79" s="117"/>
      <c r="R79" s="16"/>
      <c r="U79" s="16"/>
    </row>
    <row r="80" spans="1:17" ht="12.75">
      <c r="A80" s="14" t="s">
        <v>51</v>
      </c>
      <c r="K80" s="117"/>
      <c r="N80" s="117"/>
      <c r="Q80" s="117"/>
    </row>
    <row r="81" spans="1:17" ht="12.75">
      <c r="A81" s="4"/>
      <c r="K81" s="117"/>
      <c r="N81" s="117"/>
      <c r="Q81" s="117"/>
    </row>
    <row r="82" spans="1:23" ht="12.75">
      <c r="A82" s="13">
        <v>5100</v>
      </c>
      <c r="B82" s="12" t="s">
        <v>50</v>
      </c>
      <c r="J82" s="111">
        <f>IF(ISERROR(VLOOKUP(A82,'[1]2009 Budget'!$A:$XFD,16,FALSE)),0,VLOOKUP(A82,'[1]2009 Budget'!$A:$XFD,16,FALSE))</f>
        <v>0</v>
      </c>
      <c r="K82" s="117"/>
      <c r="M82" s="111">
        <v>0</v>
      </c>
      <c r="N82" s="117"/>
      <c r="P82" s="111">
        <f>IF(ISERROR(VLOOKUP(A82,'[2]C-1'!$K$9:$M$25,3,FALSE)),0,VLOOKUP(A82,'[2]C-1'!$K$9:$M$25,3,FALSE))</f>
        <v>0</v>
      </c>
      <c r="Q82" s="117"/>
      <c r="S82" s="84">
        <f>M82-J82</f>
        <v>0</v>
      </c>
      <c r="T82" s="83"/>
      <c r="V82" s="84">
        <f>P82-M82</f>
        <v>0</v>
      </c>
      <c r="W82" s="83"/>
    </row>
    <row r="83" spans="1:23" ht="12.75">
      <c r="A83" s="13">
        <v>5120</v>
      </c>
      <c r="B83" s="12" t="s">
        <v>49</v>
      </c>
      <c r="J83" s="111">
        <v>34413</v>
      </c>
      <c r="K83" s="117"/>
      <c r="M83" s="111">
        <v>50986</v>
      </c>
      <c r="N83" s="117"/>
      <c r="P83" s="111">
        <f>IF(ISERROR(VLOOKUP(A83,'[2]C-1'!$K$9:$M$25,3,FALSE)),0,VLOOKUP(A83,'[2]C-1'!$K$9:$M$25,3,FALSE))</f>
        <v>200000</v>
      </c>
      <c r="Q83" s="117"/>
      <c r="S83" s="84">
        <f>M83-J83</f>
        <v>16573</v>
      </c>
      <c r="T83" s="83">
        <f>(M83-J83)/J83</f>
        <v>0.4815912591171941</v>
      </c>
      <c r="V83" s="84">
        <f>P83-M83</f>
        <v>149014</v>
      </c>
      <c r="W83" s="83">
        <f>(P83-M83)/M83</f>
        <v>2.922645432079394</v>
      </c>
    </row>
    <row r="84" spans="1:17" ht="13.5" customHeight="1">
      <c r="A84" s="13"/>
      <c r="K84" s="117"/>
      <c r="N84" s="117"/>
      <c r="Q84" s="117"/>
    </row>
    <row r="85" spans="1:23" s="129" customFormat="1" ht="13.5" thickBot="1">
      <c r="A85" s="128"/>
      <c r="B85" s="121" t="s">
        <v>45</v>
      </c>
      <c r="D85" s="130"/>
      <c r="E85" s="155"/>
      <c r="F85" s="131"/>
      <c r="G85" s="130"/>
      <c r="H85" s="155"/>
      <c r="I85" s="131"/>
      <c r="J85" s="126">
        <f>SUM(J82:J84)</f>
        <v>34413</v>
      </c>
      <c r="K85" s="132"/>
      <c r="L85" s="131"/>
      <c r="M85" s="126">
        <f>SUM(M82:M84)</f>
        <v>50986</v>
      </c>
      <c r="N85" s="132"/>
      <c r="O85" s="131"/>
      <c r="P85" s="126">
        <f>SUM(P82:P84)</f>
        <v>200000</v>
      </c>
      <c r="Q85" s="132"/>
      <c r="R85" s="131"/>
      <c r="S85" s="126">
        <f>M85-J85</f>
        <v>16573</v>
      </c>
      <c r="T85" s="146">
        <f>(M85-J85)/J85</f>
        <v>0.4815912591171941</v>
      </c>
      <c r="U85" s="131"/>
      <c r="V85" s="126">
        <f>P85-M85</f>
        <v>149014</v>
      </c>
      <c r="W85" s="146">
        <f>(P85-M85)/M85</f>
        <v>2.922645432079394</v>
      </c>
    </row>
    <row r="86" spans="1:22" ht="12.75">
      <c r="A86" s="13"/>
      <c r="B86" s="4"/>
      <c r="K86" s="117"/>
      <c r="N86" s="117"/>
      <c r="Q86" s="117"/>
      <c r="S86" s="148"/>
      <c r="V86" s="148"/>
    </row>
    <row r="87" spans="1:17" ht="12.75">
      <c r="A87" s="4" t="s">
        <v>48</v>
      </c>
      <c r="K87" s="117"/>
      <c r="N87" s="117"/>
      <c r="Q87" s="117"/>
    </row>
    <row r="88" spans="1:17" ht="12.75">
      <c r="A88" s="4"/>
      <c r="K88" s="117"/>
      <c r="N88" s="117"/>
      <c r="Q88" s="117"/>
    </row>
    <row r="89" spans="1:23" ht="12.75">
      <c r="A89" s="13">
        <v>6100</v>
      </c>
      <c r="B89" s="12" t="s">
        <v>47</v>
      </c>
      <c r="J89" s="111">
        <f>IF(ISERROR(VLOOKUP(A89,'[1]2009 Budget'!$A:$XFD,16,FALSE)),0,VLOOKUP(A89,'[1]2009 Budget'!$A:$XFD,16,FALSE))</f>
        <v>0</v>
      </c>
      <c r="K89" s="117"/>
      <c r="M89" s="111">
        <v>0</v>
      </c>
      <c r="N89" s="117"/>
      <c r="P89" s="111">
        <f>IF(ISERROR(VLOOKUP(A89,'[2]C-1'!$K$9:$M$25,3,FALSE)),0,VLOOKUP(A89,'[2]C-1'!$K$9:$M$25,3,FALSE))</f>
        <v>0</v>
      </c>
      <c r="Q89" s="117"/>
      <c r="S89" s="84">
        <f>M89-J89</f>
        <v>0</v>
      </c>
      <c r="T89" s="83"/>
      <c r="V89" s="84">
        <f>P89-M89</f>
        <v>0</v>
      </c>
      <c r="W89" s="83"/>
    </row>
    <row r="90" spans="1:23" ht="12.75">
      <c r="A90" s="13">
        <v>6110</v>
      </c>
      <c r="B90" s="12" t="s">
        <v>46</v>
      </c>
      <c r="J90" s="111">
        <f>IF(ISERROR(VLOOKUP(A90,'[1]2009 Budget'!$A:$XFD,16,FALSE)),0,VLOOKUP(A90,'[1]2009 Budget'!$A:$XFD,16,FALSE))</f>
        <v>0</v>
      </c>
      <c r="K90" s="117"/>
      <c r="M90" s="111">
        <v>45245</v>
      </c>
      <c r="N90" s="117"/>
      <c r="P90" s="111">
        <f>IF(ISERROR(VLOOKUP(A90,'[2]C-1'!$K$9:$M$25,3,FALSE)),0,VLOOKUP(A90,'[2]C-1'!$K$9:$M$25,3,FALSE))</f>
        <v>150000</v>
      </c>
      <c r="Q90" s="117"/>
      <c r="S90" s="84">
        <f>M90-J90</f>
        <v>45245</v>
      </c>
      <c r="T90" s="83"/>
      <c r="V90" s="84">
        <f>P90-M90</f>
        <v>104755</v>
      </c>
      <c r="W90" s="83">
        <f>(P90-M90)/M90</f>
        <v>2.3152834567355507</v>
      </c>
    </row>
    <row r="91" spans="11:17" ht="12.75">
      <c r="K91" s="117"/>
      <c r="N91" s="117"/>
      <c r="Q91" s="117"/>
    </row>
    <row r="92" spans="1:23" s="129" customFormat="1" ht="13.5" thickBot="1">
      <c r="A92" s="128"/>
      <c r="B92" s="121" t="s">
        <v>45</v>
      </c>
      <c r="D92" s="130"/>
      <c r="E92" s="155"/>
      <c r="F92" s="131"/>
      <c r="G92" s="130"/>
      <c r="H92" s="155"/>
      <c r="I92" s="131"/>
      <c r="J92" s="126">
        <f>SUM(J89:J91)</f>
        <v>0</v>
      </c>
      <c r="K92" s="132"/>
      <c r="L92" s="131"/>
      <c r="M92" s="126">
        <f>SUM(M89:M91)</f>
        <v>45245</v>
      </c>
      <c r="N92" s="132"/>
      <c r="O92" s="131"/>
      <c r="P92" s="126">
        <f>SUM(P89:P91)</f>
        <v>150000</v>
      </c>
      <c r="Q92" s="132"/>
      <c r="R92" s="131"/>
      <c r="S92" s="126">
        <f>M92-J92</f>
        <v>45245</v>
      </c>
      <c r="T92" s="146"/>
      <c r="U92" s="131"/>
      <c r="V92" s="126">
        <f>P92-M92</f>
        <v>104755</v>
      </c>
      <c r="W92" s="146">
        <f>(P92-M92)/M92</f>
        <v>2.3152834567355507</v>
      </c>
    </row>
    <row r="93" spans="2:21" ht="12.75">
      <c r="B93" s="3"/>
      <c r="C93" s="11"/>
      <c r="D93" s="113"/>
      <c r="E93" s="150"/>
      <c r="F93" s="10"/>
      <c r="G93" s="113"/>
      <c r="H93" s="150"/>
      <c r="I93" s="10"/>
      <c r="K93" s="117"/>
      <c r="L93" s="10"/>
      <c r="N93" s="117"/>
      <c r="O93" s="10"/>
      <c r="Q93" s="117"/>
      <c r="R93" s="10"/>
      <c r="U93" s="10"/>
    </row>
    <row r="94" spans="2:23" s="6" customFormat="1" ht="13.5" thickBot="1">
      <c r="B94" s="9" t="s">
        <v>44</v>
      </c>
      <c r="C94" s="8"/>
      <c r="D94" s="118"/>
      <c r="E94" s="154"/>
      <c r="F94" s="7"/>
      <c r="G94" s="118"/>
      <c r="H94" s="154"/>
      <c r="I94" s="7"/>
      <c r="J94" s="119">
        <f>J85-J92</f>
        <v>34413</v>
      </c>
      <c r="K94" s="120"/>
      <c r="L94" s="7"/>
      <c r="M94" s="119">
        <f>M85-M92</f>
        <v>5741</v>
      </c>
      <c r="N94" s="120"/>
      <c r="O94" s="7"/>
      <c r="P94" s="119">
        <f>P85-P92</f>
        <v>50000</v>
      </c>
      <c r="Q94" s="120"/>
      <c r="R94" s="7"/>
      <c r="S94" s="119">
        <f>M94-J94</f>
        <v>-28672</v>
      </c>
      <c r="T94" s="147">
        <f>(M94-J94)/J94</f>
        <v>-0.8331735100107518</v>
      </c>
      <c r="U94" s="7"/>
      <c r="V94" s="119">
        <f>P94-M94</f>
        <v>44259</v>
      </c>
      <c r="W94" s="147">
        <f>(P94-M94)/M94</f>
        <v>7.709284096847239</v>
      </c>
    </row>
    <row r="95" spans="2:17" ht="13.5" thickTop="1">
      <c r="B95" s="3"/>
      <c r="K95" s="117"/>
      <c r="N95" s="117"/>
      <c r="Q95" s="117"/>
    </row>
    <row r="96" spans="2:17" ht="12.75">
      <c r="B96" s="3"/>
      <c r="K96" s="117"/>
      <c r="N96" s="117"/>
      <c r="Q96" s="117"/>
    </row>
    <row r="97" spans="2:17" ht="12.75">
      <c r="B97" s="3"/>
      <c r="K97" s="117"/>
      <c r="N97" s="117"/>
      <c r="Q97" s="117"/>
    </row>
    <row r="98" spans="2:17" ht="12.75">
      <c r="B98" s="3"/>
      <c r="K98" s="117"/>
      <c r="N98" s="117"/>
      <c r="Q98" s="117"/>
    </row>
    <row r="99" spans="2:17" ht="12.75">
      <c r="B99" s="3"/>
      <c r="K99" s="117"/>
      <c r="N99" s="117"/>
      <c r="Q99" s="117"/>
    </row>
    <row r="100" spans="2:17" ht="12.75">
      <c r="B100" s="3"/>
      <c r="K100" s="117"/>
      <c r="N100" s="117"/>
      <c r="Q100" s="117"/>
    </row>
    <row r="101" spans="2:17" ht="12.75">
      <c r="B101" s="3"/>
      <c r="K101" s="117"/>
      <c r="N101" s="117"/>
      <c r="Q101" s="117"/>
    </row>
    <row r="102" spans="2:17" ht="12.75">
      <c r="B102" s="3"/>
      <c r="K102" s="117"/>
      <c r="N102" s="117"/>
      <c r="Q102" s="117"/>
    </row>
    <row r="103" spans="2:17" ht="12.75">
      <c r="B103" s="3"/>
      <c r="K103" s="117"/>
      <c r="N103" s="117"/>
      <c r="Q103" s="117"/>
    </row>
    <row r="104" spans="2:17" ht="12.75">
      <c r="B104" s="3"/>
      <c r="K104" s="117"/>
      <c r="N104" s="117"/>
      <c r="Q104" s="117"/>
    </row>
    <row r="105" spans="2:17" ht="12.75">
      <c r="B105" s="3"/>
      <c r="K105" s="117"/>
      <c r="N105" s="117"/>
      <c r="Q105" s="117"/>
    </row>
    <row r="106" spans="2:22" ht="12.75">
      <c r="B106" s="4"/>
      <c r="K106" s="117"/>
      <c r="N106" s="117"/>
      <c r="Q106" s="117"/>
      <c r="S106" s="148"/>
      <c r="V106" s="148"/>
    </row>
    <row r="107" spans="11:17" ht="12.75">
      <c r="K107" s="117"/>
      <c r="N107" s="117"/>
      <c r="Q107" s="117"/>
    </row>
    <row r="108" spans="2:22" ht="12.75">
      <c r="B108" s="4"/>
      <c r="K108" s="117"/>
      <c r="N108" s="117"/>
      <c r="Q108" s="117"/>
      <c r="S108" s="148"/>
      <c r="V108" s="148"/>
    </row>
  </sheetData>
  <sheetProtection/>
  <printOptions/>
  <pageMargins left="0.75" right="0.5" top="1.18" bottom="1" header="0.5" footer="0.5"/>
  <pageSetup fitToHeight="10" horizontalDpi="600" verticalDpi="600" orientation="landscape" scale="55" r:id="rId1"/>
  <rowBreaks count="1" manualBreakCount="1">
    <brk id="50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esaccucci</cp:lastModifiedBy>
  <cp:lastPrinted>2010-07-19T01:40:49Z</cp:lastPrinted>
  <dcterms:created xsi:type="dcterms:W3CDTF">2009-08-03T01:41:13Z</dcterms:created>
  <dcterms:modified xsi:type="dcterms:W3CDTF">2010-09-20T20:57:20Z</dcterms:modified>
  <cp:category/>
  <cp:version/>
  <cp:contentType/>
  <cp:contentStatus/>
</cp:coreProperties>
</file>