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11640" tabRatio="801" activeTab="0"/>
  </bookViews>
  <sheets>
    <sheet name="Income Statement" sheetId="1" r:id="rId1"/>
    <sheet name="Operating Statement" sheetId="2" r:id="rId2"/>
    <sheet name="Capital Statement" sheetId="3" r:id="rId3"/>
    <sheet name="Capital Needs" sheetId="4" r:id="rId4"/>
    <sheet name="Summary" sheetId="5" r:id="rId5"/>
    <sheet name="2009 Actual" sheetId="6" r:id="rId6"/>
    <sheet name="2010 Budget" sheetId="7" r:id="rId7"/>
  </sheets>
  <externalReferences>
    <externalReference r:id="rId10"/>
    <externalReference r:id="rId11"/>
    <externalReference r:id="rId12"/>
  </externalReferences>
  <definedNames>
    <definedName name="_xlnm.Print_Area" localSheetId="3">'Capital Needs'!$A$1:$F$61</definedName>
    <definedName name="_xlnm.Print_Area" localSheetId="0">'Income Statement'!$A$1:$L$29</definedName>
    <definedName name="_xlnm.Print_Area" localSheetId="1">'Operating Statement'!$A$1:$C$19</definedName>
    <definedName name="_xlnm.Print_Area" localSheetId="4">'Summary'!$A$1:$Q$94</definedName>
    <definedName name="_xlnm.Print_Titles" localSheetId="4">'Summary'!$1:$1</definedName>
  </definedNames>
  <calcPr fullCalcOnLoad="1"/>
</workbook>
</file>

<file path=xl/sharedStrings.xml><?xml version="1.0" encoding="utf-8"?>
<sst xmlns="http://schemas.openxmlformats.org/spreadsheetml/2006/main" count="444" uniqueCount="260">
  <si>
    <t>St. Teresa of Avila</t>
  </si>
  <si>
    <t>CHURCH RELATED ACTIVITIES</t>
  </si>
  <si>
    <t>ACCOUNT</t>
  </si>
  <si>
    <t>A</t>
  </si>
  <si>
    <t>B</t>
  </si>
  <si>
    <t>C</t>
  </si>
  <si>
    <t>D</t>
  </si>
  <si>
    <t>E</t>
  </si>
  <si>
    <t>NUMBER</t>
  </si>
  <si>
    <t>CHURCH</t>
  </si>
  <si>
    <t>CATECHESIS</t>
  </si>
  <si>
    <t>AUXILIARY</t>
  </si>
  <si>
    <t>OTHER</t>
  </si>
  <si>
    <t>TOTAL</t>
  </si>
  <si>
    <t>ORDINARY OPERATING REVENUE:</t>
  </si>
  <si>
    <t>SUNDAY &amp; HOLY DAY COLLECTIONS</t>
  </si>
  <si>
    <t>CHRISTMAS COLLECTION</t>
  </si>
  <si>
    <t>EASTER COLLECTION</t>
  </si>
  <si>
    <t>OTHER COLLECTIONS FOR PARISH</t>
  </si>
  <si>
    <t>TUITION</t>
  </si>
  <si>
    <t>FEES</t>
  </si>
  <si>
    <t>BOOKSTORE INCOME</t>
  </si>
  <si>
    <t>LEASE &amp; RENTAL INCOME</t>
  </si>
  <si>
    <t>FUND RAISING</t>
  </si>
  <si>
    <t>INTEREST AND INVESTMENT INCOME</t>
  </si>
  <si>
    <t>BINGO INCOME</t>
  </si>
  <si>
    <t>AUXILIARY GROUPS</t>
  </si>
  <si>
    <t>MISCELLANEOUS (Describe on Page 4)</t>
  </si>
  <si>
    <t>TOTAL OPERATING REVENUE</t>
  </si>
  <si>
    <t>ORDINARY OPERATING EXPENSES:</t>
  </si>
  <si>
    <t xml:space="preserve">SALARIES </t>
  </si>
  <si>
    <t xml:space="preserve">EMPLOYEE BENEFITS </t>
  </si>
  <si>
    <t xml:space="preserve">    HEALTH INSURANCE</t>
  </si>
  <si>
    <t xml:space="preserve">    EMPLOYEE  F.I.C.A.  TAX</t>
  </si>
  <si>
    <t xml:space="preserve">    FRINGE BENEFITS</t>
  </si>
  <si>
    <t xml:space="preserve">    PROF. GROWTH / MINISTERIAL / OTHER</t>
  </si>
  <si>
    <t>BOOKS AND SUPPLIES (Non Liturgical)</t>
  </si>
  <si>
    <t>ADMINISTRATIVE EXPENSES</t>
  </si>
  <si>
    <t>TRANSPORTATION</t>
  </si>
  <si>
    <t>FOOD SERVICE &amp; MEALS</t>
  </si>
  <si>
    <t xml:space="preserve">UTILITIES </t>
  </si>
  <si>
    <t xml:space="preserve">    TELEPHONE</t>
  </si>
  <si>
    <t xml:space="preserve">    HEATING FUEL</t>
  </si>
  <si>
    <t xml:space="preserve">    ELECTRICITY</t>
  </si>
  <si>
    <t xml:space="preserve">    OTHER UTILITIES</t>
  </si>
  <si>
    <t>MAINTENANCE &amp; BUILDING REPAIRS</t>
  </si>
  <si>
    <t>BINGO EXPENSE</t>
  </si>
  <si>
    <t>INTEREST EXPENSE</t>
  </si>
  <si>
    <t>ALTAR &amp; LITURGICAL SUPPLIES</t>
  </si>
  <si>
    <t>FURNISHINGS/EQUIPMENT</t>
  </si>
  <si>
    <t>ARCHDIOCESAN ASSESSMENT</t>
  </si>
  <si>
    <t>PRMAA ASSESSMENT</t>
  </si>
  <si>
    <t>PROPERTY/CASUALTY/AUTO INSURANCE</t>
  </si>
  <si>
    <t>AUTO INSURANCE - PRIESTS OWNED VEHICLES</t>
  </si>
  <si>
    <t xml:space="preserve"> </t>
  </si>
  <si>
    <t>TOTAL OPERATING EXPENSES</t>
  </si>
  <si>
    <t>NET EXCESS/(DEFICIT) OF</t>
  </si>
  <si>
    <t xml:space="preserve">   REVENUE OVER EXPENSES</t>
  </si>
  <si>
    <t>ARCHDIOCESAN GRANT TO THE CHURCH</t>
  </si>
  <si>
    <t>-</t>
  </si>
  <si>
    <t>PARISH SUBSIDY TO EDUCATIONAL ACTIVITIES - TO SCHEDULE B-1, LINE 36, COL. E</t>
  </si>
  <si>
    <t>PARISH BUDGET</t>
  </si>
  <si>
    <t>SCHEDULE A-1</t>
  </si>
  <si>
    <t>PARISH #</t>
  </si>
  <si>
    <t>4290</t>
  </si>
  <si>
    <t>FOR THE YEAR ENDING JUNE 30, 2010</t>
  </si>
  <si>
    <t>PARISH NAME</t>
  </si>
  <si>
    <t xml:space="preserve">OTHER COLLECTIONS </t>
  </si>
  <si>
    <t>LEASE AND/OR RENTAL INCOME</t>
  </si>
  <si>
    <t>FUND RAISING NET INCOME</t>
  </si>
  <si>
    <t>INTEREST &amp; INVESTMENT INCOME</t>
  </si>
  <si>
    <t xml:space="preserve">MISCELLANEOUS INCOME </t>
  </si>
  <si>
    <t>SALARIES (FROM SCHEDULE A-2)</t>
  </si>
  <si>
    <t>HEALTH INSURANCE  EMPLOYER PAID (FROM SCHEDULE A-2)</t>
  </si>
  <si>
    <t>EMPLOYER FICA (FROM SCHEDULE A-2)</t>
  </si>
  <si>
    <t>FRINGE BENEFITS (FROM SCHEDULE A-2)</t>
  </si>
  <si>
    <t>PROFESSIONAL GROWTH/ MINISTERIAL/ OTHER (SCHD. A-2)</t>
  </si>
  <si>
    <t>BOOKS &amp; SUPPLIES, NON LITURGICAL</t>
  </si>
  <si>
    <t>FOOD SERVICES &amp; MEALS</t>
  </si>
  <si>
    <t>TELEPHONE</t>
  </si>
  <si>
    <t>HEATING FUEL</t>
  </si>
  <si>
    <t>ELECTRICITY</t>
  </si>
  <si>
    <t>OTHER UTILITIES</t>
  </si>
  <si>
    <t>BINGO EXPENSES</t>
  </si>
  <si>
    <t xml:space="preserve">PROPERTY/CASUALTY INSURANCE </t>
  </si>
  <si>
    <t>AUTO INSURANCE PRIEST OWNED VEHICLE</t>
  </si>
  <si>
    <t>MISCELLANEOUS</t>
  </si>
  <si>
    <t xml:space="preserve">  </t>
  </si>
  <si>
    <t>NET EXCESS (DEFICIT) OF</t>
  </si>
  <si>
    <t>ARCHDIOCESAN OPERATING GRANT</t>
  </si>
  <si>
    <t>2010/2009 Growth</t>
  </si>
  <si>
    <t>2010/2009 Differential</t>
  </si>
  <si>
    <t xml:space="preserve"> OUTSIDE FUNDING SOURCES</t>
  </si>
  <si>
    <t>NET CAPITAL PROFIT</t>
  </si>
  <si>
    <t>TOTAL CAPITAL REVENUE</t>
  </si>
  <si>
    <t>CAPITAL IMPROVEMENTS</t>
  </si>
  <si>
    <t>CAPITAL PURCHASE OR CONSTRUCTION</t>
  </si>
  <si>
    <t>CAPITAL EXPENDITURES</t>
  </si>
  <si>
    <t>CAPITAL COLLECTIONS</t>
  </si>
  <si>
    <t>SALE OF PROPERTY</t>
  </si>
  <si>
    <t>CAPITAL REVENUES</t>
  </si>
  <si>
    <t>NET EXTRAORDINARY OPERATING ACTIVITY</t>
  </si>
  <si>
    <t>TOTAL EXTRAORDINARY OPERATING EXPENSE</t>
  </si>
  <si>
    <t>OTHER EXTRAORDINARY EXPENSES</t>
  </si>
  <si>
    <t>PAYMENT OF ARCH. REQUIRED COLLECTIONS</t>
  </si>
  <si>
    <t xml:space="preserve">SHARING FROM PARISH GENERAL FUNDS </t>
  </si>
  <si>
    <t>SHARING COLL. PAID TO OTHER PARISHES</t>
  </si>
  <si>
    <t>EXPENSES COVERED BY INSURANCE</t>
  </si>
  <si>
    <t>EXTRAORDINARY OPERATING EXPENSES:</t>
  </si>
  <si>
    <t>TOTAL EXTRAORDINARY OPERATING REVENUE</t>
  </si>
  <si>
    <t>OTHER EXTRAORDINARY INCOME</t>
  </si>
  <si>
    <t>ANNUAL APPEAL REBATE</t>
  </si>
  <si>
    <t>PARISH EDUCATIONAL ENDOWMENT FUND</t>
  </si>
  <si>
    <t>PARISH  ENDOWMENT FUND COLLECTION</t>
  </si>
  <si>
    <t>CHURCH MILLENNIUM CAMPAIGN FUNDS</t>
  </si>
  <si>
    <t>ESTATES, BEQUESTS AND MEMORIALS</t>
  </si>
  <si>
    <t>ARCHDIOCESAN REQUIRED COLLECTIONS</t>
  </si>
  <si>
    <t>SHARING MONEY REC'D FROM OTHER PARISHES</t>
  </si>
  <si>
    <t>SHARING COLLECTION FOR OTHER PARISHES</t>
  </si>
  <si>
    <t>INSURANCE RECOVERIES</t>
  </si>
  <si>
    <t>EXTRAORDINARY OPERATING REVENUE:</t>
  </si>
  <si>
    <t>NET OPERATING PROFIT</t>
  </si>
  <si>
    <t>ORDINARY OPERATING REVENUE</t>
  </si>
  <si>
    <t>%</t>
  </si>
  <si>
    <t>2010E</t>
  </si>
  <si>
    <t>2008A</t>
  </si>
  <si>
    <t>2007A</t>
  </si>
  <si>
    <t>2009A</t>
  </si>
  <si>
    <t>FUND COLLECTIONS</t>
  </si>
  <si>
    <t>FOR THE YEAR ENDING JUNE 30, 2009</t>
  </si>
  <si>
    <t>SPECIAL COLLECTIONS</t>
  </si>
  <si>
    <t>FUNDRAISING</t>
  </si>
  <si>
    <t xml:space="preserve">OTHER </t>
  </si>
  <si>
    <t>SALARY RELATED COSTS</t>
  </si>
  <si>
    <t>ASSESSMENTS/INSURANCE</t>
  </si>
  <si>
    <t>Capital Account Available for Future Use</t>
  </si>
  <si>
    <t>Expected Payments from Capital Account</t>
  </si>
  <si>
    <t>Approved Payments</t>
  </si>
  <si>
    <t>Estimated Payments</t>
  </si>
  <si>
    <t>% DIFFERENCE</t>
  </si>
  <si>
    <t>PRORATED BUDGET</t>
  </si>
  <si>
    <t># OF MONTHS INTO THE FISCAL YEAR</t>
  </si>
  <si>
    <t>YTD ACTUALS</t>
  </si>
  <si>
    <t>2009 YTD</t>
  </si>
  <si>
    <t>ASSUMPTIONS</t>
  </si>
  <si>
    <t>AVAILABLE FUNDS</t>
  </si>
  <si>
    <t>START OF REPORTING PERIOD</t>
  </si>
  <si>
    <t>END OF REPORTING PERIOD</t>
  </si>
  <si>
    <t>CAPITAL ACCOUNT ACTIVITY</t>
  </si>
  <si>
    <t>NOMINAL $</t>
  </si>
  <si>
    <t>NOTES</t>
  </si>
  <si>
    <t>Detail of what was approved</t>
  </si>
  <si>
    <t>CAPITAL STATEMENT</t>
  </si>
  <si>
    <t>INCOME STATEMENT</t>
  </si>
  <si>
    <t>Payments from the Account</t>
  </si>
  <si>
    <t>2010 YTD</t>
  </si>
  <si>
    <t>ORDINARY OPERATING EXPENSES</t>
  </si>
  <si>
    <t>UTIILITIES</t>
  </si>
  <si>
    <t>ACCOUNT #'S</t>
  </si>
  <si>
    <t>Contributions/Interest to Account</t>
  </si>
  <si>
    <t>Restricted Funds</t>
  </si>
  <si>
    <t>Bells</t>
  </si>
  <si>
    <t>3020, 3030</t>
  </si>
  <si>
    <t>3040, 3100, 3200, 3350, 3400, 3500, 3550, 3600, 3700</t>
  </si>
  <si>
    <t>4010, 4030, 4040, 4050, 4250</t>
  </si>
  <si>
    <t>4750, 4760, 4780, 4790</t>
  </si>
  <si>
    <t>4400, 4410, 4420, 4430</t>
  </si>
  <si>
    <t>4060, 4100, 4150, 4200, 4450, 4550, 4600, 4650, 4700, 4800</t>
  </si>
  <si>
    <t>ITEM</t>
  </si>
  <si>
    <t>PRIORITY</t>
  </si>
  <si>
    <t>VENDOR</t>
  </si>
  <si>
    <t>Install new burner for boiler</t>
  </si>
  <si>
    <t>SM</t>
  </si>
  <si>
    <t>Replace heating coil</t>
  </si>
  <si>
    <t>Outdoor lighting to highlight church façade</t>
  </si>
  <si>
    <t>2011+</t>
  </si>
  <si>
    <t>AE</t>
  </si>
  <si>
    <t>Replace large can lights with energy efficient chandelier</t>
  </si>
  <si>
    <t>Replace sacristy light with energy efficient lighting</t>
  </si>
  <si>
    <t>Sound - main system upgrade</t>
  </si>
  <si>
    <t>BS</t>
  </si>
  <si>
    <t>Sound - assistive listening system</t>
  </si>
  <si>
    <t>Sound - overhead speaker replacement</t>
  </si>
  <si>
    <t>Sound - choir microphone / rack / recorder</t>
  </si>
  <si>
    <t xml:space="preserve">Bells </t>
  </si>
  <si>
    <t>V</t>
  </si>
  <si>
    <t>Remove two cherry trees and grind stumps</t>
  </si>
  <si>
    <t>CT</t>
  </si>
  <si>
    <t>CHURCH SUBTOTAL</t>
  </si>
  <si>
    <t>RECTORY</t>
  </si>
  <si>
    <t>Replace all cloth wiring; new circuits; balance load</t>
  </si>
  <si>
    <t>Replace 50 windows</t>
  </si>
  <si>
    <t>IS</t>
  </si>
  <si>
    <t>Tuck pointing; chimney repairs; replace 2 limestone sills</t>
  </si>
  <si>
    <t>FR</t>
  </si>
  <si>
    <t>Redo Plumbing</t>
  </si>
  <si>
    <t>Limestone façade - repair, re-mortar, clean and seal</t>
  </si>
  <si>
    <t>RECTORY SUBTOTAL</t>
  </si>
  <si>
    <t>PARISH CENTER</t>
  </si>
  <si>
    <t>PARISH CENTER SUBTOTAL</t>
  </si>
  <si>
    <t>TOTAL CAPITAL NEEDS ('10 - '12)</t>
  </si>
  <si>
    <t>TOTAL CAPITAL COSTS BUDGETED FOR 2010</t>
  </si>
  <si>
    <t>Vendors</t>
  </si>
  <si>
    <t>Argo Electric</t>
  </si>
  <si>
    <t>Burke Sound</t>
  </si>
  <si>
    <t>Fortune Restoration</t>
  </si>
  <si>
    <t xml:space="preserve">IS </t>
  </si>
  <si>
    <t>Illinois Sash</t>
  </si>
  <si>
    <t xml:space="preserve">SM </t>
  </si>
  <si>
    <t>Stanton Mechanical</t>
  </si>
  <si>
    <t>Verdin</t>
  </si>
  <si>
    <t>STATUS</t>
  </si>
  <si>
    <t>Complete</t>
  </si>
  <si>
    <t>TOTAL CAPITAL COSTS INCURRED IN 2010</t>
  </si>
  <si>
    <t>TOTAL CAPITAL COSTS PENDING IN 2010</t>
  </si>
  <si>
    <t>OPERATING STATEMENT</t>
  </si>
  <si>
    <t>OPERATING ACCOUNT ACTIVITY</t>
  </si>
  <si>
    <t>Expected Payments from Operating Account</t>
  </si>
  <si>
    <t>Detail of what is restricted</t>
  </si>
  <si>
    <t>Operating Account Available for Future Use</t>
  </si>
  <si>
    <t>COST 
ESTIMATE</t>
  </si>
  <si>
    <t>PARISH</t>
  </si>
  <si>
    <t>Develop Master Plan</t>
  </si>
  <si>
    <t>Need to decide on vendor.</t>
  </si>
  <si>
    <t>Upgrade computer system</t>
  </si>
  <si>
    <t xml:space="preserve">    Server 2008 upgrade (Software)</t>
  </si>
  <si>
    <t xml:space="preserve">    New Server PC (Hardware)</t>
  </si>
  <si>
    <t xml:space="preserve">    Office 2007 upgrade (Software)</t>
  </si>
  <si>
    <t xml:space="preserve">    Windows 7 upgrades (5) (Software)</t>
  </si>
  <si>
    <t>Repave parking lot</t>
  </si>
  <si>
    <t>Need two more quotes</t>
  </si>
  <si>
    <t>PARISH SUBTOTAL</t>
  </si>
  <si>
    <t>$28,000 was an option with a different fixture mfg.</t>
  </si>
  <si>
    <t>REC</t>
  </si>
  <si>
    <t>Decommission Old School Building</t>
  </si>
  <si>
    <t>Install boiler in REC</t>
  </si>
  <si>
    <t>Install roof top units to air condition REC</t>
  </si>
  <si>
    <t>Can't locate original quote</t>
  </si>
  <si>
    <t>REC SUBTOTAL</t>
  </si>
  <si>
    <t>Waiting for qoute from SM</t>
  </si>
  <si>
    <t>Replace carpeting</t>
  </si>
  <si>
    <t>Need quotes; can't locate original quote</t>
  </si>
  <si>
    <t>OLD SCHOOL BUILDING</t>
  </si>
  <si>
    <t>Demolish Old School</t>
  </si>
  <si>
    <t>Need to decide on vendor</t>
  </si>
  <si>
    <t>Asbestos removal from Old School</t>
  </si>
  <si>
    <t>Remove Old School from Fire Alarm Sys</t>
  </si>
  <si>
    <t>Need quotes</t>
  </si>
  <si>
    <t>Reroute communication lines to Avila Place</t>
  </si>
  <si>
    <t xml:space="preserve">Restoration REC and Avila Place </t>
  </si>
  <si>
    <t>Care of Trees</t>
  </si>
  <si>
    <t>Replace cloth wire in church where still in use</t>
  </si>
  <si>
    <t>3rd Floor Rectory Bathroom Fixed - Paid in Full by donor</t>
  </si>
  <si>
    <t># OF WEEKLY ATTENDEES</t>
  </si>
  <si>
    <t>OPERATING REVENUE PER PERSON PER WEEK</t>
  </si>
  <si>
    <t>OPERATING COSTS PER PERSON PER WEEK</t>
  </si>
  <si>
    <t>WEEKLY SUNDAY &amp; HOLY DAY COLLECTIONS</t>
  </si>
  <si>
    <t>DESCRIPTIVE STATISTICS</t>
  </si>
  <si>
    <t>WEEKLY OPERATING COSTS</t>
  </si>
  <si>
    <t>Raffle Pay Outs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</si>
</sst>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_(&quot;$&quot;* #,##0.000_);_(&quot;$&quot;* \(#,##0.000\);_(&quot;$&quot;* &quot;-&quot;??_);_(@_)"/>
    <numFmt numFmtId="172" formatCode="0.000%"/>
    <numFmt numFmtId="173" formatCode="[$-409]dddd\,\ mmmm\ dd\,\ yyyy"/>
    <numFmt numFmtId="174" formatCode="[$-F800]dddd\,\ mmmm\ dd\,\ yyyy"/>
    <numFmt numFmtId="175" formatCode="mmmm\ dd\,\ yyyy"/>
    <numFmt numFmtId="176" formatCode="m/d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b/>
      <u val="single"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/>
      <bottom style="medium"/>
    </border>
    <border>
      <left style="thin">
        <color indexed="23"/>
      </left>
      <right>
        <color indexed="63"/>
      </right>
      <top style="thin"/>
      <bottom style="double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/>
      <bottom style="medium"/>
    </border>
    <border>
      <left>
        <color indexed="63"/>
      </left>
      <right style="thin">
        <color indexed="2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right"/>
      <protection/>
    </xf>
    <xf numFmtId="2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left" inden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60" applyFont="1">
      <alignment/>
      <protection/>
    </xf>
    <xf numFmtId="44" fontId="4" fillId="0" borderId="0" xfId="47" applyFont="1" applyAlignment="1">
      <alignment/>
    </xf>
    <xf numFmtId="0" fontId="4" fillId="0" borderId="0" xfId="60" applyFont="1" applyBorder="1">
      <alignment/>
      <protection/>
    </xf>
    <xf numFmtId="0" fontId="5" fillId="0" borderId="0" xfId="60" applyFont="1" applyAlignment="1" applyProtection="1">
      <alignment horizontal="left"/>
      <protection/>
    </xf>
    <xf numFmtId="44" fontId="4" fillId="0" borderId="0" xfId="47" applyFont="1" applyBorder="1" applyAlignment="1">
      <alignment/>
    </xf>
    <xf numFmtId="0" fontId="4" fillId="33" borderId="10" xfId="60" applyFont="1" applyFill="1" applyBorder="1">
      <alignment/>
      <protection/>
    </xf>
    <xf numFmtId="44" fontId="4" fillId="33" borderId="10" xfId="47" applyFont="1" applyFill="1" applyBorder="1" applyAlignment="1" applyProtection="1">
      <alignment horizontal="center"/>
      <protection/>
    </xf>
    <xf numFmtId="0" fontId="4" fillId="33" borderId="10" xfId="60" applyFont="1" applyFill="1" applyBorder="1" applyAlignment="1" applyProtection="1">
      <alignment horizontal="center"/>
      <protection/>
    </xf>
    <xf numFmtId="0" fontId="5" fillId="33" borderId="10" xfId="60" applyFont="1" applyFill="1" applyBorder="1" applyAlignment="1" applyProtection="1">
      <alignment horizontal="left"/>
      <protection/>
    </xf>
    <xf numFmtId="44" fontId="4" fillId="0" borderId="0" xfId="47" applyFont="1" applyBorder="1" applyAlignment="1">
      <alignment horizontal="center"/>
    </xf>
    <xf numFmtId="0" fontId="4" fillId="0" borderId="0" xfId="60" applyFont="1" applyBorder="1" applyAlignment="1">
      <alignment horizontal="center"/>
      <protection/>
    </xf>
    <xf numFmtId="0" fontId="4" fillId="34" borderId="11" xfId="60" applyFont="1" applyFill="1" applyBorder="1">
      <alignment/>
      <protection/>
    </xf>
    <xf numFmtId="44" fontId="4" fillId="34" borderId="11" xfId="47" applyFont="1" applyFill="1" applyBorder="1" applyAlignment="1">
      <alignment/>
    </xf>
    <xf numFmtId="0" fontId="5" fillId="34" borderId="11" xfId="60" applyFont="1" applyFill="1" applyBorder="1">
      <alignment/>
      <protection/>
    </xf>
    <xf numFmtId="0" fontId="4" fillId="34" borderId="11" xfId="60" applyFont="1" applyFill="1" applyBorder="1" applyAlignment="1">
      <alignment horizontal="center"/>
      <protection/>
    </xf>
    <xf numFmtId="0" fontId="4" fillId="0" borderId="0" xfId="60" applyFont="1" applyAlignment="1" applyProtection="1">
      <alignment horizontal="left"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44" fontId="4" fillId="0" borderId="0" xfId="47" applyFont="1" applyAlignment="1" applyProtection="1">
      <alignment horizontal="center"/>
      <protection/>
    </xf>
    <xf numFmtId="0" fontId="4" fillId="0" borderId="0" xfId="60" applyFont="1" applyAlignment="1" applyProtection="1">
      <alignment horizontal="center"/>
      <protection/>
    </xf>
    <xf numFmtId="0" fontId="4" fillId="35" borderId="11" xfId="60" applyFont="1" applyFill="1" applyBorder="1">
      <alignment/>
      <protection/>
    </xf>
    <xf numFmtId="44" fontId="4" fillId="35" borderId="11" xfId="47" applyFont="1" applyFill="1" applyBorder="1" applyAlignment="1" applyProtection="1">
      <alignment horizontal="center"/>
      <protection/>
    </xf>
    <xf numFmtId="0" fontId="4" fillId="35" borderId="11" xfId="60" applyFont="1" applyFill="1" applyBorder="1" applyAlignment="1" applyProtection="1">
      <alignment horizontal="center"/>
      <protection/>
    </xf>
    <xf numFmtId="0" fontId="5" fillId="35" borderId="11" xfId="60" applyFont="1" applyFill="1" applyBorder="1" applyAlignment="1" applyProtection="1">
      <alignment horizontal="left"/>
      <protection/>
    </xf>
    <xf numFmtId="44" fontId="4" fillId="0" borderId="0" xfId="47" applyFont="1" applyBorder="1" applyAlignment="1" applyProtection="1">
      <alignment horizontal="center"/>
      <protection/>
    </xf>
    <xf numFmtId="0" fontId="4" fillId="0" borderId="0" xfId="60" applyFont="1" applyBorder="1" applyAlignment="1" applyProtection="1">
      <alignment horizontal="center"/>
      <protection/>
    </xf>
    <xf numFmtId="0" fontId="4" fillId="0" borderId="0" xfId="60" applyFont="1" applyBorder="1" applyAlignment="1" applyProtection="1">
      <alignment horizontal="left"/>
      <protection/>
    </xf>
    <xf numFmtId="0" fontId="5" fillId="0" borderId="0" xfId="60" applyFont="1" applyBorder="1" applyAlignment="1" applyProtection="1">
      <alignment horizontal="left"/>
      <protection/>
    </xf>
    <xf numFmtId="44" fontId="4" fillId="0" borderId="0" xfId="47" applyFont="1" applyAlignment="1">
      <alignment horizontal="center"/>
    </xf>
    <xf numFmtId="0" fontId="5" fillId="35" borderId="11" xfId="60" applyFont="1" applyFill="1" applyBorder="1">
      <alignment/>
      <protection/>
    </xf>
    <xf numFmtId="44" fontId="5" fillId="35" borderId="11" xfId="47" applyFont="1" applyFill="1" applyBorder="1" applyAlignment="1" applyProtection="1">
      <alignment horizontal="center"/>
      <protection/>
    </xf>
    <xf numFmtId="0" fontId="5" fillId="35" borderId="11" xfId="60" applyFont="1" applyFill="1" applyBorder="1" applyAlignment="1" applyProtection="1">
      <alignment horizontal="center"/>
      <protection/>
    </xf>
    <xf numFmtId="0" fontId="5" fillId="33" borderId="10" xfId="60" applyFont="1" applyFill="1" applyBorder="1">
      <alignment/>
      <protection/>
    </xf>
    <xf numFmtId="44" fontId="5" fillId="33" borderId="10" xfId="47" applyFont="1" applyFill="1" applyBorder="1" applyAlignment="1" applyProtection="1">
      <alignment horizontal="center"/>
      <protection/>
    </xf>
    <xf numFmtId="0" fontId="5" fillId="33" borderId="10" xfId="60" applyFont="1" applyFill="1" applyBorder="1" applyAlignment="1" applyProtection="1">
      <alignment horizontal="center"/>
      <protection/>
    </xf>
    <xf numFmtId="44" fontId="4" fillId="34" borderId="11" xfId="47" applyFont="1" applyFill="1" applyBorder="1" applyAlignment="1" applyProtection="1">
      <alignment horizontal="center"/>
      <protection/>
    </xf>
    <xf numFmtId="0" fontId="4" fillId="34" borderId="11" xfId="60" applyFont="1" applyFill="1" applyBorder="1" applyAlignment="1" applyProtection="1">
      <alignment horizontal="center"/>
      <protection/>
    </xf>
    <xf numFmtId="0" fontId="5" fillId="34" borderId="11" xfId="60" applyFont="1" applyFill="1" applyBorder="1" applyAlignment="1" applyProtection="1">
      <alignment horizontal="left"/>
      <protection/>
    </xf>
    <xf numFmtId="0" fontId="7" fillId="0" borderId="0" xfId="60" applyFont="1" applyBorder="1" applyAlignment="1" applyProtection="1">
      <alignment horizontal="left"/>
      <protection/>
    </xf>
    <xf numFmtId="44" fontId="5" fillId="34" borderId="11" xfId="47" applyFont="1" applyFill="1" applyBorder="1" applyAlignment="1">
      <alignment/>
    </xf>
    <xf numFmtId="0" fontId="8" fillId="0" borderId="0" xfId="60" applyFont="1" applyFill="1">
      <alignment/>
      <protection/>
    </xf>
    <xf numFmtId="44" fontId="9" fillId="0" borderId="0" xfId="47" applyFont="1" applyFill="1" applyAlignment="1">
      <alignment horizontal="center"/>
    </xf>
    <xf numFmtId="169" fontId="9" fillId="0" borderId="12" xfId="47" applyNumberFormat="1" applyFont="1" applyFill="1" applyBorder="1" applyAlignment="1">
      <alignment horizontal="center"/>
    </xf>
    <xf numFmtId="169" fontId="4" fillId="0" borderId="12" xfId="47" applyNumberFormat="1" applyFont="1" applyBorder="1" applyAlignment="1">
      <alignment/>
    </xf>
    <xf numFmtId="169" fontId="5" fillId="34" borderId="13" xfId="47" applyNumberFormat="1" applyFont="1" applyFill="1" applyBorder="1" applyAlignment="1">
      <alignment/>
    </xf>
    <xf numFmtId="169" fontId="4" fillId="0" borderId="12" xfId="47" applyNumberFormat="1" applyFont="1" applyBorder="1" applyAlignment="1">
      <alignment horizontal="center"/>
    </xf>
    <xf numFmtId="169" fontId="5" fillId="33" borderId="14" xfId="47" applyNumberFormat="1" applyFont="1" applyFill="1" applyBorder="1" applyAlignment="1" applyProtection="1">
      <alignment horizontal="center"/>
      <protection/>
    </xf>
    <xf numFmtId="169" fontId="4" fillId="0" borderId="12" xfId="47" applyNumberFormat="1" applyFont="1" applyBorder="1" applyAlignment="1" applyProtection="1">
      <alignment horizontal="center"/>
      <protection/>
    </xf>
    <xf numFmtId="169" fontId="5" fillId="35" borderId="13" xfId="47" applyNumberFormat="1" applyFont="1" applyFill="1" applyBorder="1" applyAlignment="1" applyProtection="1">
      <alignment horizontal="center"/>
      <protection/>
    </xf>
    <xf numFmtId="169" fontId="4" fillId="35" borderId="13" xfId="47" applyNumberFormat="1" applyFont="1" applyFill="1" applyBorder="1" applyAlignment="1" applyProtection="1">
      <alignment horizontal="center"/>
      <protection/>
    </xf>
    <xf numFmtId="169" fontId="4" fillId="33" borderId="14" xfId="47" applyNumberFormat="1" applyFont="1" applyFill="1" applyBorder="1" applyAlignment="1" applyProtection="1">
      <alignment horizontal="center"/>
      <protection/>
    </xf>
    <xf numFmtId="169" fontId="4" fillId="34" borderId="13" xfId="47" applyNumberFormat="1" applyFont="1" applyFill="1" applyBorder="1" applyAlignment="1">
      <alignment/>
    </xf>
    <xf numFmtId="169" fontId="5" fillId="35" borderId="13" xfId="47" applyNumberFormat="1" applyFont="1" applyFill="1" applyBorder="1" applyAlignment="1">
      <alignment/>
    </xf>
    <xf numFmtId="169" fontId="5" fillId="33" borderId="14" xfId="47" applyNumberFormat="1" applyFont="1" applyFill="1" applyBorder="1" applyAlignment="1">
      <alignment/>
    </xf>
    <xf numFmtId="0" fontId="8" fillId="36" borderId="0" xfId="60" applyFont="1" applyFill="1" applyAlignment="1">
      <alignment wrapText="1"/>
      <protection/>
    </xf>
    <xf numFmtId="169" fontId="9" fillId="36" borderId="15" xfId="47" applyNumberFormat="1" applyFont="1" applyFill="1" applyBorder="1" applyAlignment="1">
      <alignment horizontal="center" wrapText="1"/>
    </xf>
    <xf numFmtId="44" fontId="9" fillId="36" borderId="0" xfId="47" applyFont="1" applyFill="1" applyAlignment="1">
      <alignment horizontal="center" wrapText="1"/>
    </xf>
    <xf numFmtId="9" fontId="9" fillId="36" borderId="16" xfId="64" applyNumberFormat="1" applyFont="1" applyFill="1" applyBorder="1" applyAlignment="1">
      <alignment horizontal="center" wrapText="1"/>
    </xf>
    <xf numFmtId="9" fontId="8" fillId="0" borderId="17" xfId="64" applyNumberFormat="1" applyFont="1" applyFill="1" applyBorder="1" applyAlignment="1">
      <alignment/>
    </xf>
    <xf numFmtId="9" fontId="4" fillId="0" borderId="17" xfId="64" applyNumberFormat="1" applyFont="1" applyBorder="1" applyAlignment="1">
      <alignment/>
    </xf>
    <xf numFmtId="9" fontId="5" fillId="34" borderId="18" xfId="64" applyNumberFormat="1" applyFont="1" applyFill="1" applyBorder="1" applyAlignment="1">
      <alignment/>
    </xf>
    <xf numFmtId="9" fontId="5" fillId="33" borderId="19" xfId="64" applyNumberFormat="1" applyFont="1" applyFill="1" applyBorder="1" applyAlignment="1">
      <alignment/>
    </xf>
    <xf numFmtId="9" fontId="4" fillId="0" borderId="17" xfId="44" applyNumberFormat="1" applyFont="1" applyBorder="1" applyAlignment="1">
      <alignment/>
    </xf>
    <xf numFmtId="9" fontId="5" fillId="35" borderId="18" xfId="44" applyNumberFormat="1" applyFont="1" applyFill="1" applyBorder="1" applyAlignment="1">
      <alignment/>
    </xf>
    <xf numFmtId="9" fontId="4" fillId="35" borderId="18" xfId="44" applyNumberFormat="1" applyFont="1" applyFill="1" applyBorder="1" applyAlignment="1">
      <alignment/>
    </xf>
    <xf numFmtId="9" fontId="4" fillId="33" borderId="19" xfId="44" applyNumberFormat="1" applyFont="1" applyFill="1" applyBorder="1" applyAlignment="1">
      <alignment/>
    </xf>
    <xf numFmtId="9" fontId="4" fillId="34" borderId="18" xfId="44" applyNumberFormat="1" applyFont="1" applyFill="1" applyBorder="1" applyAlignment="1">
      <alignment/>
    </xf>
    <xf numFmtId="170" fontId="8" fillId="0" borderId="20" xfId="63" applyNumberFormat="1" applyFont="1" applyFill="1" applyBorder="1" applyAlignment="1">
      <alignment/>
    </xf>
    <xf numFmtId="170" fontId="4" fillId="0" borderId="20" xfId="63" applyNumberFormat="1" applyFont="1" applyBorder="1" applyAlignment="1">
      <alignment/>
    </xf>
    <xf numFmtId="170" fontId="5" fillId="34" borderId="21" xfId="63" applyNumberFormat="1" applyFont="1" applyFill="1" applyBorder="1" applyAlignment="1">
      <alignment/>
    </xf>
    <xf numFmtId="170" fontId="5" fillId="33" borderId="22" xfId="63" applyNumberFormat="1" applyFont="1" applyFill="1" applyBorder="1" applyAlignment="1">
      <alignment/>
    </xf>
    <xf numFmtId="170" fontId="5" fillId="35" borderId="21" xfId="63" applyNumberFormat="1" applyFont="1" applyFill="1" applyBorder="1" applyAlignment="1">
      <alignment/>
    </xf>
    <xf numFmtId="170" fontId="4" fillId="35" borderId="21" xfId="63" applyNumberFormat="1" applyFont="1" applyFill="1" applyBorder="1" applyAlignment="1">
      <alignment/>
    </xf>
    <xf numFmtId="170" fontId="4" fillId="33" borderId="22" xfId="63" applyNumberFormat="1" applyFont="1" applyFill="1" applyBorder="1" applyAlignment="1">
      <alignment/>
    </xf>
    <xf numFmtId="170" fontId="4" fillId="34" borderId="21" xfId="63" applyNumberFormat="1" applyFont="1" applyFill="1" applyBorder="1" applyAlignment="1">
      <alignment/>
    </xf>
    <xf numFmtId="9" fontId="9" fillId="36" borderId="16" xfId="63" applyNumberFormat="1" applyFont="1" applyFill="1" applyBorder="1" applyAlignment="1">
      <alignment horizontal="center" wrapText="1"/>
    </xf>
    <xf numFmtId="9" fontId="9" fillId="0" borderId="17" xfId="63" applyNumberFormat="1" applyFont="1" applyFill="1" applyBorder="1" applyAlignment="1">
      <alignment horizontal="center"/>
    </xf>
    <xf numFmtId="9" fontId="4" fillId="0" borderId="17" xfId="63" applyNumberFormat="1" applyFont="1" applyBorder="1" applyAlignment="1">
      <alignment/>
    </xf>
    <xf numFmtId="9" fontId="5" fillId="34" borderId="18" xfId="63" applyNumberFormat="1" applyFont="1" applyFill="1" applyBorder="1" applyAlignment="1">
      <alignment/>
    </xf>
    <xf numFmtId="9" fontId="4" fillId="0" borderId="17" xfId="63" applyNumberFormat="1" applyFont="1" applyBorder="1" applyAlignment="1">
      <alignment horizontal="center"/>
    </xf>
    <xf numFmtId="9" fontId="5" fillId="33" borderId="19" xfId="63" applyNumberFormat="1" applyFont="1" applyFill="1" applyBorder="1" applyAlignment="1" applyProtection="1">
      <alignment horizontal="center"/>
      <protection/>
    </xf>
    <xf numFmtId="9" fontId="4" fillId="0" borderId="17" xfId="63" applyNumberFormat="1" applyFont="1" applyBorder="1" applyAlignment="1" applyProtection="1">
      <alignment horizontal="center"/>
      <protection/>
    </xf>
    <xf numFmtId="9" fontId="5" fillId="35" borderId="18" xfId="63" applyNumberFormat="1" applyFont="1" applyFill="1" applyBorder="1" applyAlignment="1" applyProtection="1">
      <alignment horizontal="center"/>
      <protection/>
    </xf>
    <xf numFmtId="9" fontId="4" fillId="35" borderId="18" xfId="63" applyNumberFormat="1" applyFont="1" applyFill="1" applyBorder="1" applyAlignment="1" applyProtection="1">
      <alignment horizontal="center"/>
      <protection/>
    </xf>
    <xf numFmtId="9" fontId="4" fillId="33" borderId="19" xfId="63" applyNumberFormat="1" applyFont="1" applyFill="1" applyBorder="1" applyAlignment="1" applyProtection="1">
      <alignment horizontal="center"/>
      <protection/>
    </xf>
    <xf numFmtId="9" fontId="4" fillId="34" borderId="18" xfId="63" applyNumberFormat="1" applyFont="1" applyFill="1" applyBorder="1" applyAlignment="1">
      <alignment/>
    </xf>
    <xf numFmtId="170" fontId="9" fillId="37" borderId="23" xfId="63" applyNumberFormat="1" applyFont="1" applyFill="1" applyBorder="1" applyAlignment="1">
      <alignment horizontal="center" wrapText="1"/>
    </xf>
    <xf numFmtId="169" fontId="9" fillId="36" borderId="15" xfId="45" applyNumberFormat="1" applyFont="1" applyFill="1" applyBorder="1" applyAlignment="1">
      <alignment horizontal="center" wrapText="1"/>
    </xf>
    <xf numFmtId="169" fontId="9" fillId="0" borderId="12" xfId="45" applyNumberFormat="1" applyFont="1" applyFill="1" applyBorder="1" applyAlignment="1">
      <alignment horizontal="center"/>
    </xf>
    <xf numFmtId="169" fontId="4" fillId="0" borderId="12" xfId="45" applyNumberFormat="1" applyFont="1" applyBorder="1" applyAlignment="1">
      <alignment/>
    </xf>
    <xf numFmtId="169" fontId="5" fillId="34" borderId="13" xfId="45" applyNumberFormat="1" applyFont="1" applyFill="1" applyBorder="1" applyAlignment="1">
      <alignment/>
    </xf>
    <xf numFmtId="169" fontId="5" fillId="33" borderId="14" xfId="45" applyNumberFormat="1" applyFont="1" applyFill="1" applyBorder="1" applyAlignment="1" applyProtection="1">
      <alignment horizontal="center"/>
      <protection/>
    </xf>
    <xf numFmtId="169" fontId="5" fillId="35" borderId="13" xfId="45" applyNumberFormat="1" applyFont="1" applyFill="1" applyBorder="1" applyAlignment="1">
      <alignment/>
    </xf>
    <xf numFmtId="169" fontId="5" fillId="33" borderId="14" xfId="45" applyNumberFormat="1" applyFont="1" applyFill="1" applyBorder="1" applyAlignment="1">
      <alignment/>
    </xf>
    <xf numFmtId="169" fontId="9" fillId="37" borderId="24" xfId="45" applyNumberFormat="1" applyFont="1" applyFill="1" applyBorder="1" applyAlignment="1">
      <alignment horizontal="center" wrapText="1"/>
    </xf>
    <xf numFmtId="169" fontId="8" fillId="0" borderId="25" xfId="45" applyNumberFormat="1" applyFont="1" applyFill="1" applyBorder="1" applyAlignment="1">
      <alignment/>
    </xf>
    <xf numFmtId="169" fontId="4" fillId="0" borderId="25" xfId="45" applyNumberFormat="1" applyFont="1" applyBorder="1" applyAlignment="1">
      <alignment/>
    </xf>
    <xf numFmtId="169" fontId="5" fillId="34" borderId="26" xfId="45" applyNumberFormat="1" applyFont="1" applyFill="1" applyBorder="1" applyAlignment="1">
      <alignment/>
    </xf>
    <xf numFmtId="169" fontId="5" fillId="33" borderId="27" xfId="45" applyNumberFormat="1" applyFont="1" applyFill="1" applyBorder="1" applyAlignment="1">
      <alignment/>
    </xf>
    <xf numFmtId="169" fontId="5" fillId="35" borderId="26" xfId="45" applyNumberFormat="1" applyFont="1" applyFill="1" applyBorder="1" applyAlignment="1">
      <alignment/>
    </xf>
    <xf numFmtId="169" fontId="4" fillId="35" borderId="26" xfId="45" applyNumberFormat="1" applyFont="1" applyFill="1" applyBorder="1" applyAlignment="1">
      <alignment/>
    </xf>
    <xf numFmtId="169" fontId="4" fillId="33" borderId="27" xfId="45" applyNumberFormat="1" applyFont="1" applyFill="1" applyBorder="1" applyAlignment="1">
      <alignment/>
    </xf>
    <xf numFmtId="169" fontId="4" fillId="34" borderId="26" xfId="45" applyNumberFormat="1" applyFont="1" applyFill="1" applyBorder="1" applyAlignment="1">
      <alignment/>
    </xf>
    <xf numFmtId="169" fontId="5" fillId="0" borderId="25" xfId="45" applyNumberFormat="1" applyFont="1" applyBorder="1" applyAlignment="1">
      <alignment/>
    </xf>
    <xf numFmtId="0" fontId="4" fillId="0" borderId="0" xfId="60" applyFont="1" quotePrefix="1">
      <alignment/>
      <protection/>
    </xf>
    <xf numFmtId="167" fontId="5" fillId="0" borderId="0" xfId="42" applyNumberFormat="1" applyFont="1" applyAlignment="1">
      <alignment/>
    </xf>
    <xf numFmtId="167" fontId="5" fillId="0" borderId="0" xfId="42" applyNumberFormat="1" applyFont="1" applyAlignment="1" applyProtection="1">
      <alignment horizontal="left"/>
      <protection/>
    </xf>
    <xf numFmtId="167" fontId="5" fillId="0" borderId="0" xfId="42" applyNumberFormat="1" applyFont="1" applyAlignment="1" applyProtection="1">
      <alignment horizontal="right"/>
      <protection/>
    </xf>
    <xf numFmtId="167" fontId="5" fillId="0" borderId="28" xfId="42" applyNumberFormat="1" applyFont="1" applyBorder="1" applyAlignment="1">
      <alignment/>
    </xf>
    <xf numFmtId="167" fontId="5" fillId="0" borderId="0" xfId="42" applyNumberFormat="1" applyFont="1" applyAlignment="1">
      <alignment horizontal="right"/>
    </xf>
    <xf numFmtId="167" fontId="5" fillId="0" borderId="29" xfId="42" applyNumberFormat="1" applyFont="1" applyBorder="1" applyAlignment="1">
      <alignment/>
    </xf>
    <xf numFmtId="167" fontId="5" fillId="0" borderId="0" xfId="42" applyNumberFormat="1" applyFont="1" applyAlignment="1" applyProtection="1">
      <alignment horizontal="center"/>
      <protection/>
    </xf>
    <xf numFmtId="167" fontId="4" fillId="0" borderId="0" xfId="42" applyNumberFormat="1" applyFont="1" applyAlignment="1">
      <alignment/>
    </xf>
    <xf numFmtId="167" fontId="4" fillId="0" borderId="30" xfId="42" applyNumberFormat="1" applyFont="1" applyBorder="1" applyAlignment="1" applyProtection="1">
      <alignment/>
      <protection locked="0"/>
    </xf>
    <xf numFmtId="167" fontId="4" fillId="0" borderId="0" xfId="42" applyNumberFormat="1" applyFont="1" applyFill="1" applyAlignment="1" applyProtection="1">
      <alignment/>
      <protection locked="0"/>
    </xf>
    <xf numFmtId="167" fontId="4" fillId="0" borderId="0" xfId="42" applyNumberFormat="1" applyFont="1" applyFill="1" applyAlignment="1">
      <alignment/>
    </xf>
    <xf numFmtId="167" fontId="4" fillId="0" borderId="0" xfId="42" applyNumberFormat="1" applyFont="1" applyAlignment="1" applyProtection="1">
      <alignment/>
      <protection locked="0"/>
    </xf>
    <xf numFmtId="167" fontId="4" fillId="0" borderId="0" xfId="42" applyNumberFormat="1" applyFont="1" applyAlignment="1" applyProtection="1">
      <alignment horizontal="fill"/>
      <protection/>
    </xf>
    <xf numFmtId="167" fontId="4" fillId="0" borderId="0" xfId="42" applyNumberFormat="1" applyFont="1" applyBorder="1" applyAlignment="1" applyProtection="1">
      <alignment horizontal="fill"/>
      <protection/>
    </xf>
    <xf numFmtId="167" fontId="4" fillId="0" borderId="30" xfId="42" applyNumberFormat="1" applyFont="1" applyBorder="1" applyAlignment="1" applyProtection="1">
      <alignment/>
      <protection/>
    </xf>
    <xf numFmtId="167" fontId="4" fillId="0" borderId="30" xfId="42" applyNumberFormat="1" applyFont="1" applyFill="1" applyBorder="1" applyAlignment="1" applyProtection="1">
      <alignment/>
      <protection/>
    </xf>
    <xf numFmtId="167" fontId="4" fillId="0" borderId="30" xfId="42" applyNumberFormat="1" applyFont="1" applyFill="1" applyBorder="1" applyAlignment="1">
      <alignment/>
    </xf>
    <xf numFmtId="167" fontId="6" fillId="0" borderId="0" xfId="42" applyNumberFormat="1" applyFont="1" applyAlignment="1">
      <alignment/>
    </xf>
    <xf numFmtId="167" fontId="4" fillId="0" borderId="31" xfId="42" applyNumberFormat="1" applyFont="1" applyBorder="1" applyAlignment="1" applyProtection="1">
      <alignment/>
      <protection locked="0"/>
    </xf>
    <xf numFmtId="167" fontId="4" fillId="0" borderId="31" xfId="42" applyNumberFormat="1" applyFont="1" applyFill="1" applyBorder="1" applyAlignment="1" applyProtection="1">
      <alignment/>
      <protection locked="0"/>
    </xf>
    <xf numFmtId="167" fontId="4" fillId="0" borderId="32" xfId="42" applyNumberFormat="1" applyFont="1" applyBorder="1" applyAlignment="1" applyProtection="1">
      <alignment/>
      <protection locked="0"/>
    </xf>
    <xf numFmtId="167" fontId="4" fillId="0" borderId="0" xfId="42" applyNumberFormat="1" applyFont="1" applyBorder="1" applyAlignment="1" applyProtection="1">
      <alignment/>
      <protection locked="0"/>
    </xf>
    <xf numFmtId="167" fontId="4" fillId="0" borderId="33" xfId="42" applyNumberFormat="1" applyFont="1" applyBorder="1" applyAlignment="1" applyProtection="1">
      <alignment/>
      <protection locked="0"/>
    </xf>
    <xf numFmtId="167" fontId="4" fillId="0" borderId="30" xfId="42" applyNumberFormat="1" applyFont="1" applyFill="1" applyBorder="1" applyAlignment="1" applyProtection="1">
      <alignment/>
      <protection locked="0"/>
    </xf>
    <xf numFmtId="167" fontId="4" fillId="0" borderId="28" xfId="42" applyNumberFormat="1" applyFont="1" applyFill="1" applyBorder="1" applyAlignment="1" applyProtection="1">
      <alignment/>
      <protection locked="0"/>
    </xf>
    <xf numFmtId="167" fontId="4" fillId="0" borderId="28" xfId="42" applyNumberFormat="1" applyFont="1" applyFill="1" applyBorder="1" applyAlignment="1">
      <alignment/>
    </xf>
    <xf numFmtId="167" fontId="4" fillId="0" borderId="34" xfId="42" applyNumberFormat="1" applyFont="1" applyFill="1" applyBorder="1" applyAlignment="1">
      <alignment/>
    </xf>
    <xf numFmtId="167" fontId="4" fillId="0" borderId="0" xfId="42" applyNumberFormat="1" applyFont="1" applyFill="1" applyBorder="1" applyAlignment="1">
      <alignment/>
    </xf>
    <xf numFmtId="167" fontId="4" fillId="0" borderId="35" xfId="42" applyNumberFormat="1" applyFont="1" applyFill="1" applyBorder="1" applyAlignment="1">
      <alignment/>
    </xf>
    <xf numFmtId="167" fontId="6" fillId="0" borderId="0" xfId="42" applyNumberFormat="1" applyFont="1" applyAlignment="1" applyProtection="1">
      <alignment horizontal="fill"/>
      <protection/>
    </xf>
    <xf numFmtId="167" fontId="4" fillId="0" borderId="28" xfId="42" applyNumberFormat="1" applyFont="1" applyFill="1" applyBorder="1" applyAlignment="1" applyProtection="1">
      <alignment horizontal="right"/>
      <protection locked="0"/>
    </xf>
    <xf numFmtId="167" fontId="4" fillId="0" borderId="34" xfId="42" applyNumberFormat="1" applyFont="1" applyFill="1" applyBorder="1" applyAlignment="1" applyProtection="1">
      <alignment/>
      <protection locked="0"/>
    </xf>
    <xf numFmtId="167" fontId="4" fillId="0" borderId="31" xfId="42" applyNumberFormat="1" applyFont="1" applyFill="1" applyBorder="1" applyAlignment="1">
      <alignment/>
    </xf>
    <xf numFmtId="167" fontId="4" fillId="0" borderId="36" xfId="42" applyNumberFormat="1" applyFont="1" applyFill="1" applyBorder="1" applyAlignment="1">
      <alignment/>
    </xf>
    <xf numFmtId="167" fontId="4" fillId="0" borderId="36" xfId="42" applyNumberFormat="1" applyFont="1" applyBorder="1" applyAlignment="1" applyProtection="1">
      <alignment/>
      <protection locked="0"/>
    </xf>
    <xf numFmtId="0" fontId="4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60" applyFont="1" applyFill="1" applyBorder="1" applyAlignment="1" applyProtection="1">
      <alignment horizontal="left"/>
      <protection/>
    </xf>
    <xf numFmtId="0" fontId="5" fillId="0" borderId="10" xfId="60" applyFont="1" applyFill="1" applyBorder="1" applyAlignment="1" applyProtection="1">
      <alignment horizontal="left"/>
      <protection/>
    </xf>
    <xf numFmtId="0" fontId="4" fillId="0" borderId="0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 applyBorder="1" applyAlignment="1">
      <alignment wrapText="1"/>
      <protection/>
    </xf>
    <xf numFmtId="0" fontId="4" fillId="0" borderId="0" xfId="60" applyFont="1" applyFill="1" applyBorder="1" applyAlignment="1">
      <alignment wrapText="1"/>
      <protection/>
    </xf>
    <xf numFmtId="0" fontId="5" fillId="0" borderId="31" xfId="60" applyFont="1" applyFill="1" applyBorder="1">
      <alignment/>
      <protection/>
    </xf>
    <xf numFmtId="0" fontId="5" fillId="34" borderId="0" xfId="60" applyFont="1" applyFill="1">
      <alignment/>
      <protection/>
    </xf>
    <xf numFmtId="0" fontId="4" fillId="34" borderId="0" xfId="60" applyFont="1" applyFill="1">
      <alignment/>
      <protection/>
    </xf>
    <xf numFmtId="0" fontId="4" fillId="0" borderId="0" xfId="60" applyFont="1" applyAlignment="1">
      <alignment horizontal="left" indent="1"/>
      <protection/>
    </xf>
    <xf numFmtId="0" fontId="5" fillId="0" borderId="0" xfId="60" applyFont="1" applyAlignment="1">
      <alignment horizontal="center"/>
      <protection/>
    </xf>
    <xf numFmtId="0" fontId="5" fillId="33" borderId="0" xfId="60" applyFont="1" applyFill="1">
      <alignment/>
      <protection/>
    </xf>
    <xf numFmtId="0" fontId="4" fillId="33" borderId="0" xfId="60" applyFont="1" applyFill="1">
      <alignment/>
      <protection/>
    </xf>
    <xf numFmtId="0" fontId="5" fillId="0" borderId="31" xfId="60" applyFont="1" applyBorder="1">
      <alignment/>
      <protection/>
    </xf>
    <xf numFmtId="167" fontId="5" fillId="0" borderId="31" xfId="42" applyNumberFormat="1" applyFont="1" applyFill="1" applyBorder="1" applyAlignment="1">
      <alignment/>
    </xf>
    <xf numFmtId="176" fontId="4" fillId="38" borderId="0" xfId="48" applyNumberFormat="1" applyFill="1">
      <alignment/>
      <protection/>
    </xf>
    <xf numFmtId="0" fontId="4" fillId="0" borderId="0" xfId="60" applyFont="1" applyFill="1" applyBorder="1" applyAlignment="1">
      <alignment horizontal="left"/>
      <protection/>
    </xf>
    <xf numFmtId="0" fontId="10" fillId="33" borderId="0" xfId="60" applyFont="1" applyFill="1" applyBorder="1" applyAlignment="1">
      <alignment horizontal="center" wrapText="1"/>
      <protection/>
    </xf>
    <xf numFmtId="0" fontId="10" fillId="33" borderId="0" xfId="60" applyFont="1" applyFill="1" applyBorder="1" applyAlignment="1">
      <alignment horizontal="center"/>
      <protection/>
    </xf>
    <xf numFmtId="0" fontId="11" fillId="0" borderId="0" xfId="60" applyFont="1" applyBorder="1">
      <alignment/>
      <protection/>
    </xf>
    <xf numFmtId="0" fontId="10" fillId="0" borderId="0" xfId="60" applyFont="1" applyFill="1" applyBorder="1" applyAlignment="1">
      <alignment horizontal="center" wrapText="1"/>
      <protection/>
    </xf>
    <xf numFmtId="169" fontId="10" fillId="0" borderId="0" xfId="47" applyNumberFormat="1" applyFont="1" applyFill="1" applyBorder="1" applyAlignment="1">
      <alignment horizontal="center"/>
    </xf>
    <xf numFmtId="0" fontId="11" fillId="0" borderId="0" xfId="60" applyFont="1" applyFill="1" applyBorder="1" applyAlignment="1">
      <alignment horizontal="center"/>
      <protection/>
    </xf>
    <xf numFmtId="0" fontId="10" fillId="0" borderId="0" xfId="60" applyFont="1" applyFill="1" applyBorder="1" applyAlignment="1">
      <alignment horizontal="center"/>
      <protection/>
    </xf>
    <xf numFmtId="0" fontId="10" fillId="0" borderId="37" xfId="60" applyFont="1" applyBorder="1" applyAlignment="1">
      <alignment wrapText="1"/>
      <protection/>
    </xf>
    <xf numFmtId="169" fontId="11" fillId="0" borderId="37" xfId="47" applyNumberFormat="1" applyFont="1" applyBorder="1" applyAlignment="1">
      <alignment/>
    </xf>
    <xf numFmtId="0" fontId="11" fillId="0" borderId="37" xfId="60" applyFont="1" applyBorder="1" applyAlignment="1">
      <alignment horizontal="center"/>
      <protection/>
    </xf>
    <xf numFmtId="0" fontId="11" fillId="0" borderId="37" xfId="60" applyFont="1" applyBorder="1">
      <alignment/>
      <protection/>
    </xf>
    <xf numFmtId="0" fontId="11" fillId="0" borderId="0" xfId="60" applyFont="1" applyBorder="1" applyAlignment="1">
      <alignment wrapText="1"/>
      <protection/>
    </xf>
    <xf numFmtId="169" fontId="11" fillId="0" borderId="0" xfId="47" applyNumberFormat="1" applyFont="1" applyBorder="1" applyAlignment="1">
      <alignment/>
    </xf>
    <xf numFmtId="0" fontId="11" fillId="0" borderId="0" xfId="60" applyFont="1" applyBorder="1" applyAlignment="1">
      <alignment horizontal="center"/>
      <protection/>
    </xf>
    <xf numFmtId="0" fontId="11" fillId="0" borderId="30" xfId="60" applyFont="1" applyBorder="1" applyAlignment="1">
      <alignment wrapText="1"/>
      <protection/>
    </xf>
    <xf numFmtId="169" fontId="11" fillId="0" borderId="30" xfId="47" applyNumberFormat="1" applyFont="1" applyBorder="1" applyAlignment="1">
      <alignment/>
    </xf>
    <xf numFmtId="0" fontId="11" fillId="0" borderId="30" xfId="60" applyFont="1" applyBorder="1" applyAlignment="1">
      <alignment horizontal="center"/>
      <protection/>
    </xf>
    <xf numFmtId="0" fontId="11" fillId="0" borderId="30" xfId="60" applyFont="1" applyBorder="1">
      <alignment/>
      <protection/>
    </xf>
    <xf numFmtId="0" fontId="10" fillId="0" borderId="0" xfId="60" applyFont="1" applyBorder="1" applyAlignment="1">
      <alignment wrapText="1"/>
      <protection/>
    </xf>
    <xf numFmtId="169" fontId="10" fillId="0" borderId="0" xfId="47" applyNumberFormat="1" applyFont="1" applyBorder="1" applyAlignment="1">
      <alignment/>
    </xf>
    <xf numFmtId="0" fontId="10" fillId="0" borderId="0" xfId="60" applyFont="1" applyBorder="1">
      <alignment/>
      <protection/>
    </xf>
    <xf numFmtId="0" fontId="10" fillId="0" borderId="0" xfId="60" applyFont="1" applyBorder="1" applyAlignment="1">
      <alignment horizontal="center"/>
      <protection/>
    </xf>
    <xf numFmtId="169" fontId="10" fillId="0" borderId="37" xfId="47" applyNumberFormat="1" applyFont="1" applyBorder="1" applyAlignment="1">
      <alignment/>
    </xf>
    <xf numFmtId="0" fontId="10" fillId="0" borderId="37" xfId="60" applyFont="1" applyBorder="1">
      <alignment/>
      <protection/>
    </xf>
    <xf numFmtId="0" fontId="11" fillId="0" borderId="38" xfId="60" applyFont="1" applyBorder="1" applyAlignment="1">
      <alignment wrapText="1"/>
      <protection/>
    </xf>
    <xf numFmtId="169" fontId="11" fillId="0" borderId="38" xfId="47" applyNumberFormat="1" applyFont="1" applyBorder="1" applyAlignment="1">
      <alignment/>
    </xf>
    <xf numFmtId="0" fontId="11" fillId="0" borderId="38" xfId="60" applyFont="1" applyBorder="1" applyAlignment="1">
      <alignment horizontal="center"/>
      <protection/>
    </xf>
    <xf numFmtId="0" fontId="11" fillId="0" borderId="38" xfId="60" applyFont="1" applyBorder="1">
      <alignment/>
      <protection/>
    </xf>
    <xf numFmtId="0" fontId="10" fillId="0" borderId="30" xfId="60" applyFont="1" applyBorder="1" applyAlignment="1">
      <alignment wrapText="1"/>
      <protection/>
    </xf>
    <xf numFmtId="169" fontId="10" fillId="0" borderId="30" xfId="47" applyNumberFormat="1" applyFont="1" applyBorder="1" applyAlignment="1">
      <alignment/>
    </xf>
    <xf numFmtId="0" fontId="4" fillId="0" borderId="0" xfId="60" applyFont="1" applyFill="1" applyAlignment="1" applyProtection="1">
      <alignment horizontal="center"/>
      <protection/>
    </xf>
    <xf numFmtId="0" fontId="4" fillId="0" borderId="0" xfId="60" applyFont="1" applyFill="1" applyAlignment="1" applyProtection="1">
      <alignment horizontal="left"/>
      <protection/>
    </xf>
    <xf numFmtId="169" fontId="4" fillId="0" borderId="12" xfId="47" applyNumberFormat="1" applyFont="1" applyFill="1" applyBorder="1" applyAlignment="1">
      <alignment/>
    </xf>
    <xf numFmtId="9" fontId="4" fillId="0" borderId="17" xfId="63" applyNumberFormat="1" applyFont="1" applyFill="1" applyBorder="1" applyAlignment="1">
      <alignment/>
    </xf>
    <xf numFmtId="9" fontId="4" fillId="0" borderId="17" xfId="64" applyNumberFormat="1" applyFont="1" applyFill="1" applyBorder="1" applyAlignment="1">
      <alignment/>
    </xf>
    <xf numFmtId="169" fontId="4" fillId="0" borderId="12" xfId="45" applyNumberFormat="1" applyFont="1" applyFill="1" applyBorder="1" applyAlignment="1">
      <alignment/>
    </xf>
    <xf numFmtId="169" fontId="4" fillId="0" borderId="25" xfId="45" applyNumberFormat="1" applyFont="1" applyFill="1" applyBorder="1" applyAlignment="1">
      <alignment/>
    </xf>
    <xf numFmtId="170" fontId="4" fillId="0" borderId="20" xfId="63" applyNumberFormat="1" applyFont="1" applyFill="1" applyBorder="1" applyAlignment="1">
      <alignment/>
    </xf>
    <xf numFmtId="169" fontId="4" fillId="38" borderId="0" xfId="47" applyNumberFormat="1" applyFont="1" applyFill="1" applyBorder="1" applyAlignment="1">
      <alignment/>
    </xf>
    <xf numFmtId="167" fontId="4" fillId="38" borderId="0" xfId="44" applyNumberFormat="1" applyFont="1" applyFill="1" applyAlignment="1">
      <alignment/>
    </xf>
    <xf numFmtId="169" fontId="10" fillId="33" borderId="0" xfId="47" applyNumberFormat="1" applyFont="1" applyFill="1" applyBorder="1" applyAlignment="1">
      <alignment horizontal="center" wrapText="1"/>
    </xf>
    <xf numFmtId="167" fontId="4" fillId="0" borderId="0" xfId="44" applyNumberFormat="1" applyFont="1" applyFill="1" applyAlignment="1">
      <alignment/>
    </xf>
    <xf numFmtId="167" fontId="5" fillId="0" borderId="31" xfId="44" applyNumberFormat="1" applyFont="1" applyFill="1" applyBorder="1" applyAlignment="1">
      <alignment/>
    </xf>
    <xf numFmtId="167" fontId="4" fillId="38" borderId="0" xfId="44" applyNumberFormat="1" applyFont="1" applyFill="1" applyBorder="1" applyAlignment="1">
      <alignment/>
    </xf>
    <xf numFmtId="170" fontId="4" fillId="0" borderId="0" xfId="64" applyNumberFormat="1" applyFont="1" applyFill="1" applyBorder="1" applyAlignment="1">
      <alignment/>
    </xf>
    <xf numFmtId="169" fontId="4" fillId="0" borderId="0" xfId="47" applyNumberFormat="1" applyFont="1" applyFill="1" applyBorder="1" applyAlignment="1">
      <alignment/>
    </xf>
    <xf numFmtId="9" fontId="4" fillId="0" borderId="0" xfId="64" applyFont="1" applyFill="1" applyBorder="1" applyAlignment="1">
      <alignment/>
    </xf>
    <xf numFmtId="169" fontId="4" fillId="0" borderId="0" xfId="47" applyNumberFormat="1" applyFont="1" applyFill="1" applyBorder="1" applyAlignment="1" quotePrefix="1">
      <alignment/>
    </xf>
    <xf numFmtId="169" fontId="5" fillId="0" borderId="0" xfId="47" applyNumberFormat="1" applyFont="1" applyFill="1" applyBorder="1" applyAlignment="1">
      <alignment horizontal="center" wrapText="1"/>
    </xf>
    <xf numFmtId="170" fontId="5" fillId="0" borderId="0" xfId="64" applyNumberFormat="1" applyFont="1" applyFill="1" applyBorder="1" applyAlignment="1">
      <alignment horizontal="center" wrapText="1"/>
    </xf>
    <xf numFmtId="169" fontId="4" fillId="0" borderId="0" xfId="47" applyNumberFormat="1" applyFont="1" applyFill="1" applyBorder="1" applyAlignment="1">
      <alignment wrapText="1"/>
    </xf>
    <xf numFmtId="9" fontId="5" fillId="0" borderId="0" xfId="64" applyFont="1" applyFill="1" applyBorder="1" applyAlignment="1">
      <alignment horizontal="center" wrapText="1"/>
    </xf>
    <xf numFmtId="0" fontId="4" fillId="0" borderId="0" xfId="60" applyFont="1" applyFill="1" applyBorder="1" applyAlignment="1" applyProtection="1">
      <alignment horizontal="left"/>
      <protection/>
    </xf>
    <xf numFmtId="164" fontId="4" fillId="0" borderId="0" xfId="60" applyNumberFormat="1" applyFont="1" applyAlignment="1" applyProtection="1">
      <alignment horizontal="left"/>
      <protection/>
    </xf>
    <xf numFmtId="169" fontId="5" fillId="0" borderId="31" xfId="47" applyNumberFormat="1" applyFont="1" applyFill="1" applyBorder="1" applyAlignment="1">
      <alignment/>
    </xf>
    <xf numFmtId="170" fontId="5" fillId="0" borderId="31" xfId="64" applyNumberFormat="1" applyFont="1" applyFill="1" applyBorder="1" applyAlignment="1">
      <alignment/>
    </xf>
    <xf numFmtId="9" fontId="5" fillId="0" borderId="10" xfId="64" applyFont="1" applyFill="1" applyBorder="1" applyAlignment="1">
      <alignment/>
    </xf>
    <xf numFmtId="164" fontId="4" fillId="0" borderId="0" xfId="60" applyNumberFormat="1" applyFont="1" applyAlignment="1" applyProtection="1">
      <alignment horizontal="center"/>
      <protection/>
    </xf>
    <xf numFmtId="9" fontId="5" fillId="0" borderId="31" xfId="64" applyFont="1" applyFill="1" applyBorder="1" applyAlignment="1">
      <alignment/>
    </xf>
    <xf numFmtId="169" fontId="5" fillId="0" borderId="10" xfId="47" applyNumberFormat="1" applyFont="1" applyFill="1" applyBorder="1" applyAlignment="1">
      <alignment/>
    </xf>
    <xf numFmtId="170" fontId="5" fillId="0" borderId="10" xfId="64" applyNumberFormat="1" applyFont="1" applyFill="1" applyBorder="1" applyAlignment="1">
      <alignment/>
    </xf>
    <xf numFmtId="9" fontId="4" fillId="0" borderId="10" xfId="64" applyFont="1" applyFill="1" applyBorder="1" applyAlignment="1">
      <alignment/>
    </xf>
    <xf numFmtId="169" fontId="5" fillId="0" borderId="0" xfId="47" applyNumberFormat="1" applyFont="1" applyFill="1" applyBorder="1" applyAlignment="1">
      <alignment/>
    </xf>
    <xf numFmtId="170" fontId="5" fillId="0" borderId="0" xfId="64" applyNumberFormat="1" applyFont="1" applyFill="1" applyBorder="1" applyAlignment="1">
      <alignment/>
    </xf>
    <xf numFmtId="9" fontId="5" fillId="0" borderId="0" xfId="64" applyFont="1" applyFill="1" applyBorder="1" applyAlignment="1">
      <alignment/>
    </xf>
    <xf numFmtId="0" fontId="5" fillId="0" borderId="0" xfId="6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DATE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2">
    <dxf>
      <font>
        <b/>
        <i val="0"/>
        <color rgb="FFFF0000"/>
      </font>
    </dxf>
    <dxf>
      <font>
        <b/>
        <i val="0"/>
        <color theme="9" tint="-0.499969989061355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mar\St.%20Teresa%20of%20Avila\Finance%20Council\2010%20Budget\Budget_2010_Worksheet%20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hilko\AppData\Local\Microsoft\Windows\Temporary%20Internet%20Files\Content.Outlook\J69T6451\2009%20Annual%20Report%20-%20Par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mar\AppData\Local\Microsoft\Windows\Temporary%20Internet%20Files\Content.Outlook\AD84MNVA\Finance%20Report%20Workbook%2011%2030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Budget"/>
      <sheetName val="Budget (Revised)"/>
      <sheetName val="Budget Detail"/>
    </sheetNames>
    <sheetDataSet>
      <sheetData sheetId="0">
        <row r="1">
          <cell r="D1" t="str">
            <v>Jul 08</v>
          </cell>
          <cell r="E1" t="str">
            <v>Aug 08</v>
          </cell>
          <cell r="F1" t="str">
            <v>Sep 08</v>
          </cell>
          <cell r="G1" t="str">
            <v>Oct 08</v>
          </cell>
          <cell r="H1" t="str">
            <v>Nov 08</v>
          </cell>
          <cell r="I1" t="str">
            <v>Dec 08</v>
          </cell>
          <cell r="J1" t="str">
            <v>Jan 09</v>
          </cell>
          <cell r="K1" t="str">
            <v>Feb 09</v>
          </cell>
          <cell r="L1" t="str">
            <v>Mar 09</v>
          </cell>
          <cell r="M1" t="str">
            <v>Apr 09</v>
          </cell>
          <cell r="N1" t="str">
            <v>May 09</v>
          </cell>
          <cell r="O1" t="str">
            <v>Jun 09</v>
          </cell>
          <cell r="P1" t="str">
            <v>Jul '08 - Jun 09</v>
          </cell>
        </row>
        <row r="2">
          <cell r="A2" t="str">
            <v>Ordinary Income/Expense</v>
          </cell>
        </row>
        <row r="3">
          <cell r="A3" t="str">
            <v>Income</v>
          </cell>
        </row>
        <row r="4">
          <cell r="A4">
            <v>3000</v>
          </cell>
          <cell r="B4" t="str">
            <v> SUNDAY AND HOLY DAY COLLECTIONS</v>
          </cell>
          <cell r="D4">
            <v>30800</v>
          </cell>
          <cell r="E4">
            <v>39100</v>
          </cell>
          <cell r="F4">
            <v>31600</v>
          </cell>
          <cell r="G4">
            <v>31600</v>
          </cell>
          <cell r="H4">
            <v>41200</v>
          </cell>
          <cell r="I4">
            <v>28925</v>
          </cell>
          <cell r="J4">
            <v>33725</v>
          </cell>
          <cell r="K4">
            <v>33600</v>
          </cell>
          <cell r="L4">
            <v>41000</v>
          </cell>
          <cell r="M4">
            <v>32400</v>
          </cell>
          <cell r="N4">
            <v>40050</v>
          </cell>
          <cell r="O4">
            <v>31600</v>
          </cell>
          <cell r="P4">
            <v>415600</v>
          </cell>
        </row>
        <row r="5">
          <cell r="A5">
            <v>3020</v>
          </cell>
          <cell r="B5" t="str">
            <v> CHRISTMAS COLLECTION</v>
          </cell>
          <cell r="I5">
            <v>28000</v>
          </cell>
          <cell r="J5">
            <v>8000</v>
          </cell>
          <cell r="P5">
            <v>36000</v>
          </cell>
        </row>
        <row r="6">
          <cell r="A6">
            <v>3030</v>
          </cell>
          <cell r="B6" t="str">
            <v> EASTER COLLECTION</v>
          </cell>
          <cell r="L6">
            <v>4000</v>
          </cell>
          <cell r="M6">
            <v>22000</v>
          </cell>
          <cell r="P6">
            <v>26000</v>
          </cell>
        </row>
        <row r="7">
          <cell r="A7">
            <v>3040</v>
          </cell>
          <cell r="B7" t="str">
            <v> OTHER COLLECTIONS</v>
          </cell>
          <cell r="D7">
            <v>790</v>
          </cell>
          <cell r="E7">
            <v>790</v>
          </cell>
          <cell r="F7">
            <v>790</v>
          </cell>
          <cell r="G7">
            <v>790</v>
          </cell>
          <cell r="H7">
            <v>790</v>
          </cell>
          <cell r="I7">
            <v>900</v>
          </cell>
          <cell r="J7">
            <v>790</v>
          </cell>
          <cell r="K7">
            <v>790</v>
          </cell>
          <cell r="L7">
            <v>790</v>
          </cell>
          <cell r="M7">
            <v>1000</v>
          </cell>
          <cell r="N7">
            <v>790</v>
          </cell>
          <cell r="O7">
            <v>790</v>
          </cell>
          <cell r="P7">
            <v>9800</v>
          </cell>
        </row>
        <row r="8">
          <cell r="A8">
            <v>3100</v>
          </cell>
          <cell r="B8" t="str">
            <v> TUITION</v>
          </cell>
          <cell r="E8">
            <v>900</v>
          </cell>
          <cell r="F8">
            <v>3000</v>
          </cell>
          <cell r="G8">
            <v>8200</v>
          </cell>
          <cell r="H8">
            <v>4300</v>
          </cell>
          <cell r="I8">
            <v>825</v>
          </cell>
          <cell r="J8">
            <v>350</v>
          </cell>
          <cell r="P8">
            <v>17575</v>
          </cell>
        </row>
        <row r="9">
          <cell r="A9">
            <v>3110</v>
          </cell>
          <cell r="B9" t="str">
            <v> FEES</v>
          </cell>
          <cell r="F9">
            <v>300</v>
          </cell>
          <cell r="G9">
            <v>700</v>
          </cell>
          <cell r="H9">
            <v>100</v>
          </cell>
          <cell r="P9">
            <v>1100</v>
          </cell>
        </row>
        <row r="10">
          <cell r="A10">
            <v>3350</v>
          </cell>
          <cell r="B10" t="str">
            <v> LEASE AND/OR RENTAL INCOME</v>
          </cell>
          <cell r="D10">
            <v>700</v>
          </cell>
          <cell r="E10">
            <v>800</v>
          </cell>
          <cell r="F10">
            <v>1050</v>
          </cell>
          <cell r="G10">
            <v>1050</v>
          </cell>
          <cell r="H10">
            <v>1050</v>
          </cell>
          <cell r="I10">
            <v>1050</v>
          </cell>
          <cell r="J10">
            <v>1050</v>
          </cell>
          <cell r="K10">
            <v>1050</v>
          </cell>
          <cell r="L10">
            <v>1050</v>
          </cell>
          <cell r="M10">
            <v>1050</v>
          </cell>
          <cell r="N10">
            <v>1050</v>
          </cell>
          <cell r="O10">
            <v>1050</v>
          </cell>
          <cell r="P10">
            <v>12000</v>
          </cell>
        </row>
        <row r="11">
          <cell r="A11">
            <v>3450</v>
          </cell>
          <cell r="B11" t="str">
            <v> FUND RAISING NET INCOME</v>
          </cell>
          <cell r="D11">
            <v>3100</v>
          </cell>
          <cell r="E11">
            <v>16025</v>
          </cell>
          <cell r="F11">
            <v>30750</v>
          </cell>
          <cell r="G11">
            <v>11325</v>
          </cell>
          <cell r="H11">
            <v>500</v>
          </cell>
          <cell r="I11">
            <v>1800</v>
          </cell>
          <cell r="L11">
            <v>1300</v>
          </cell>
          <cell r="O11">
            <v>100</v>
          </cell>
          <cell r="P11">
            <v>64900</v>
          </cell>
        </row>
        <row r="12">
          <cell r="A12">
            <v>3500</v>
          </cell>
          <cell r="B12" t="str">
            <v> INTEREST &amp; INVESTMENT INCOME</v>
          </cell>
          <cell r="D12">
            <v>24</v>
          </cell>
          <cell r="E12">
            <v>26</v>
          </cell>
          <cell r="F12">
            <v>30</v>
          </cell>
          <cell r="G12">
            <v>31</v>
          </cell>
          <cell r="H12">
            <v>24</v>
          </cell>
          <cell r="I12">
            <v>26</v>
          </cell>
          <cell r="J12">
            <v>27</v>
          </cell>
          <cell r="K12">
            <v>24</v>
          </cell>
          <cell r="L12">
            <v>24</v>
          </cell>
          <cell r="M12">
            <v>26</v>
          </cell>
          <cell r="N12">
            <v>24</v>
          </cell>
          <cell r="O12">
            <v>24</v>
          </cell>
          <cell r="P12">
            <v>310</v>
          </cell>
        </row>
        <row r="13">
          <cell r="A13">
            <v>3700</v>
          </cell>
          <cell r="B13" t="str">
            <v> MISCELLANEOUS INCOME</v>
          </cell>
          <cell r="D13">
            <v>1570</v>
          </cell>
          <cell r="E13">
            <v>1570</v>
          </cell>
          <cell r="F13">
            <v>1570</v>
          </cell>
          <cell r="G13">
            <v>1470</v>
          </cell>
          <cell r="H13">
            <v>1450</v>
          </cell>
          <cell r="I13">
            <v>1450</v>
          </cell>
          <cell r="J13">
            <v>1370</v>
          </cell>
          <cell r="K13">
            <v>1470</v>
          </cell>
          <cell r="L13">
            <v>1470</v>
          </cell>
          <cell r="M13">
            <v>1420</v>
          </cell>
          <cell r="N13">
            <v>1570</v>
          </cell>
          <cell r="O13">
            <v>1570</v>
          </cell>
          <cell r="P13">
            <v>17950</v>
          </cell>
        </row>
        <row r="14">
          <cell r="A14" t="str">
            <v>Total Income</v>
          </cell>
          <cell r="D14">
            <v>36984</v>
          </cell>
          <cell r="E14">
            <v>59211</v>
          </cell>
          <cell r="F14">
            <v>69090</v>
          </cell>
          <cell r="G14">
            <v>55166</v>
          </cell>
          <cell r="H14">
            <v>49414</v>
          </cell>
          <cell r="I14">
            <v>62976</v>
          </cell>
          <cell r="J14">
            <v>45312</v>
          </cell>
          <cell r="K14">
            <v>36934</v>
          </cell>
          <cell r="L14">
            <v>49634</v>
          </cell>
          <cell r="M14">
            <v>57896</v>
          </cell>
          <cell r="N14">
            <v>43484</v>
          </cell>
          <cell r="O14">
            <v>35134</v>
          </cell>
          <cell r="P14">
            <v>601235</v>
          </cell>
        </row>
        <row r="15">
          <cell r="A15" t="str">
            <v>Expense</v>
          </cell>
        </row>
        <row r="16">
          <cell r="A16">
            <v>4010</v>
          </cell>
          <cell r="B16" t="str">
            <v> SALARIES</v>
          </cell>
          <cell r="D16">
            <v>24421</v>
          </cell>
          <cell r="E16">
            <v>24421</v>
          </cell>
          <cell r="F16">
            <v>24421</v>
          </cell>
          <cell r="G16">
            <v>24421</v>
          </cell>
          <cell r="H16">
            <v>24821</v>
          </cell>
          <cell r="I16">
            <v>26421</v>
          </cell>
          <cell r="J16">
            <v>25161</v>
          </cell>
          <cell r="K16">
            <v>24421</v>
          </cell>
          <cell r="L16">
            <v>24421</v>
          </cell>
          <cell r="M16">
            <v>24921</v>
          </cell>
          <cell r="N16">
            <v>24421</v>
          </cell>
          <cell r="O16">
            <v>24431</v>
          </cell>
          <cell r="P16">
            <v>296702</v>
          </cell>
        </row>
        <row r="17">
          <cell r="A17">
            <v>4030</v>
          </cell>
          <cell r="B17" t="str">
            <v> HEALTH INSURANCE-EMPLOYER PAID</v>
          </cell>
          <cell r="D17">
            <v>3291</v>
          </cell>
          <cell r="E17">
            <v>3291</v>
          </cell>
          <cell r="F17">
            <v>3291</v>
          </cell>
          <cell r="G17">
            <v>3291</v>
          </cell>
          <cell r="H17">
            <v>3291</v>
          </cell>
          <cell r="I17">
            <v>3291</v>
          </cell>
          <cell r="J17">
            <v>3291</v>
          </cell>
          <cell r="K17">
            <v>3291</v>
          </cell>
          <cell r="L17">
            <v>3291</v>
          </cell>
          <cell r="M17">
            <v>3291</v>
          </cell>
          <cell r="N17">
            <v>3291</v>
          </cell>
          <cell r="O17">
            <v>3297</v>
          </cell>
          <cell r="P17">
            <v>39498</v>
          </cell>
        </row>
        <row r="18">
          <cell r="A18">
            <v>4040</v>
          </cell>
          <cell r="B18" t="str">
            <v> EMPLOYER FICA</v>
          </cell>
          <cell r="D18">
            <v>1591</v>
          </cell>
          <cell r="E18">
            <v>1591</v>
          </cell>
          <cell r="F18">
            <v>1591</v>
          </cell>
          <cell r="G18">
            <v>1591</v>
          </cell>
          <cell r="H18">
            <v>1591</v>
          </cell>
          <cell r="I18">
            <v>1591</v>
          </cell>
          <cell r="J18">
            <v>1591</v>
          </cell>
          <cell r="K18">
            <v>1591</v>
          </cell>
          <cell r="L18">
            <v>1591</v>
          </cell>
          <cell r="M18">
            <v>1591</v>
          </cell>
          <cell r="N18">
            <v>1591</v>
          </cell>
          <cell r="O18">
            <v>1590</v>
          </cell>
          <cell r="P18">
            <v>19091</v>
          </cell>
        </row>
        <row r="19">
          <cell r="A19">
            <v>4050</v>
          </cell>
          <cell r="B19" t="str">
            <v> FRINGE BENEFITS</v>
          </cell>
          <cell r="D19">
            <v>1167</v>
          </cell>
          <cell r="E19">
            <v>1167</v>
          </cell>
          <cell r="F19">
            <v>1167</v>
          </cell>
          <cell r="G19">
            <v>1167</v>
          </cell>
          <cell r="H19">
            <v>1167</v>
          </cell>
          <cell r="I19">
            <v>1167</v>
          </cell>
          <cell r="J19">
            <v>1167</v>
          </cell>
          <cell r="K19">
            <v>1167</v>
          </cell>
          <cell r="L19">
            <v>1167</v>
          </cell>
          <cell r="M19">
            <v>1167</v>
          </cell>
          <cell r="N19">
            <v>1167</v>
          </cell>
          <cell r="O19">
            <v>1165</v>
          </cell>
          <cell r="P19">
            <v>14002</v>
          </cell>
        </row>
        <row r="20">
          <cell r="A20">
            <v>4060</v>
          </cell>
          <cell r="B20" t="str">
            <v> PROF. GROWTH/MINIST./OTHER</v>
          </cell>
          <cell r="D20">
            <v>483</v>
          </cell>
          <cell r="E20">
            <v>483</v>
          </cell>
          <cell r="F20">
            <v>483</v>
          </cell>
          <cell r="G20">
            <v>483</v>
          </cell>
          <cell r="H20">
            <v>483</v>
          </cell>
          <cell r="I20">
            <v>483</v>
          </cell>
          <cell r="J20">
            <v>483</v>
          </cell>
          <cell r="K20">
            <v>483</v>
          </cell>
          <cell r="L20">
            <v>483</v>
          </cell>
          <cell r="M20">
            <v>483</v>
          </cell>
          <cell r="N20">
            <v>483</v>
          </cell>
          <cell r="O20">
            <v>487</v>
          </cell>
          <cell r="P20">
            <v>5800</v>
          </cell>
        </row>
        <row r="21">
          <cell r="A21">
            <v>4100</v>
          </cell>
          <cell r="B21" t="str">
            <v> BOOKS &amp; SUPPLIES,NON-LITURGICAL</v>
          </cell>
          <cell r="D21">
            <v>195</v>
          </cell>
          <cell r="E21">
            <v>295</v>
          </cell>
          <cell r="F21">
            <v>895</v>
          </cell>
          <cell r="G21">
            <v>695</v>
          </cell>
          <cell r="H21">
            <v>795</v>
          </cell>
          <cell r="I21">
            <v>205</v>
          </cell>
          <cell r="J21">
            <v>395</v>
          </cell>
          <cell r="K21">
            <v>610</v>
          </cell>
          <cell r="L21">
            <v>195</v>
          </cell>
          <cell r="M21">
            <v>195</v>
          </cell>
          <cell r="N21">
            <v>195</v>
          </cell>
          <cell r="O21">
            <v>195</v>
          </cell>
          <cell r="P21">
            <v>4865</v>
          </cell>
        </row>
        <row r="22">
          <cell r="A22">
            <v>4150</v>
          </cell>
          <cell r="B22" t="str">
            <v> ADMINISTRATIVE EXPENSES</v>
          </cell>
          <cell r="D22">
            <v>1281</v>
          </cell>
          <cell r="E22">
            <v>1281</v>
          </cell>
          <cell r="F22">
            <v>1283</v>
          </cell>
          <cell r="G22">
            <v>1285</v>
          </cell>
          <cell r="H22">
            <v>1666</v>
          </cell>
          <cell r="I22">
            <v>1294</v>
          </cell>
          <cell r="J22">
            <v>1286</v>
          </cell>
          <cell r="K22">
            <v>1286</v>
          </cell>
          <cell r="L22">
            <v>1561</v>
          </cell>
          <cell r="M22">
            <v>1381</v>
          </cell>
          <cell r="N22">
            <v>1281</v>
          </cell>
          <cell r="O22">
            <v>1265</v>
          </cell>
          <cell r="P22">
            <v>16150</v>
          </cell>
        </row>
        <row r="23">
          <cell r="A23">
            <v>4200</v>
          </cell>
          <cell r="B23" t="str">
            <v> TRANSPORTATION</v>
          </cell>
          <cell r="D23">
            <v>80</v>
          </cell>
          <cell r="E23">
            <v>80</v>
          </cell>
          <cell r="F23">
            <v>80</v>
          </cell>
          <cell r="G23">
            <v>90</v>
          </cell>
          <cell r="H23">
            <v>90</v>
          </cell>
          <cell r="I23">
            <v>90</v>
          </cell>
          <cell r="J23">
            <v>90</v>
          </cell>
          <cell r="K23">
            <v>80</v>
          </cell>
          <cell r="L23">
            <v>80</v>
          </cell>
          <cell r="M23">
            <v>80</v>
          </cell>
          <cell r="N23">
            <v>80</v>
          </cell>
          <cell r="O23">
            <v>80</v>
          </cell>
          <cell r="P23">
            <v>1000</v>
          </cell>
        </row>
        <row r="24">
          <cell r="A24">
            <v>4250</v>
          </cell>
          <cell r="B24" t="str">
            <v> FOOD SERVICE &amp; MEALS</v>
          </cell>
          <cell r="D24">
            <v>850</v>
          </cell>
          <cell r="E24">
            <v>850</v>
          </cell>
          <cell r="F24">
            <v>850</v>
          </cell>
          <cell r="G24">
            <v>850</v>
          </cell>
          <cell r="H24">
            <v>650</v>
          </cell>
          <cell r="I24">
            <v>850</v>
          </cell>
          <cell r="J24">
            <v>850</v>
          </cell>
          <cell r="K24">
            <v>850</v>
          </cell>
          <cell r="L24">
            <v>850</v>
          </cell>
          <cell r="M24">
            <v>850</v>
          </cell>
          <cell r="N24">
            <v>850</v>
          </cell>
          <cell r="O24">
            <v>850</v>
          </cell>
          <cell r="P24">
            <v>10000</v>
          </cell>
        </row>
        <row r="25">
          <cell r="A25">
            <v>4400</v>
          </cell>
          <cell r="B25" t="str">
            <v> TELEPHONE</v>
          </cell>
          <cell r="D25">
            <v>200</v>
          </cell>
          <cell r="E25">
            <v>200</v>
          </cell>
          <cell r="F25">
            <v>200</v>
          </cell>
          <cell r="G25">
            <v>200</v>
          </cell>
          <cell r="H25">
            <v>200</v>
          </cell>
          <cell r="I25">
            <v>200</v>
          </cell>
          <cell r="J25">
            <v>200</v>
          </cell>
          <cell r="K25">
            <v>200</v>
          </cell>
          <cell r="L25">
            <v>200</v>
          </cell>
          <cell r="M25">
            <v>200</v>
          </cell>
          <cell r="N25">
            <v>200</v>
          </cell>
          <cell r="O25">
            <v>200</v>
          </cell>
          <cell r="P25">
            <v>2400</v>
          </cell>
        </row>
        <row r="26">
          <cell r="A26">
            <v>4410</v>
          </cell>
          <cell r="B26" t="str">
            <v> HEATING FUEL</v>
          </cell>
          <cell r="D26">
            <v>1000</v>
          </cell>
          <cell r="E26">
            <v>1000</v>
          </cell>
          <cell r="F26">
            <v>1100</v>
          </cell>
          <cell r="G26">
            <v>1200</v>
          </cell>
          <cell r="H26">
            <v>1500</v>
          </cell>
          <cell r="I26">
            <v>1700</v>
          </cell>
          <cell r="J26">
            <v>2200</v>
          </cell>
          <cell r="K26">
            <v>1700</v>
          </cell>
          <cell r="L26">
            <v>1600</v>
          </cell>
          <cell r="M26">
            <v>1500</v>
          </cell>
          <cell r="N26">
            <v>1000</v>
          </cell>
          <cell r="O26">
            <v>1000</v>
          </cell>
          <cell r="P26">
            <v>16500</v>
          </cell>
        </row>
        <row r="27">
          <cell r="A27">
            <v>4420</v>
          </cell>
          <cell r="B27" t="str">
            <v> ELECTRICITY</v>
          </cell>
          <cell r="D27">
            <v>900</v>
          </cell>
          <cell r="E27">
            <v>1000</v>
          </cell>
          <cell r="F27">
            <v>1100</v>
          </cell>
          <cell r="G27">
            <v>1100</v>
          </cell>
          <cell r="H27">
            <v>1400</v>
          </cell>
          <cell r="I27">
            <v>1550</v>
          </cell>
          <cell r="J27">
            <v>1550</v>
          </cell>
          <cell r="K27">
            <v>1400</v>
          </cell>
          <cell r="L27">
            <v>1400</v>
          </cell>
          <cell r="M27">
            <v>1200</v>
          </cell>
          <cell r="N27">
            <v>1000</v>
          </cell>
          <cell r="O27">
            <v>900</v>
          </cell>
          <cell r="P27">
            <v>14500</v>
          </cell>
        </row>
        <row r="28">
          <cell r="A28">
            <v>4430</v>
          </cell>
          <cell r="B28" t="str">
            <v> OTHER UTILITIES</v>
          </cell>
          <cell r="D28">
            <v>183</v>
          </cell>
          <cell r="E28">
            <v>183</v>
          </cell>
          <cell r="F28">
            <v>183</v>
          </cell>
          <cell r="G28">
            <v>183</v>
          </cell>
          <cell r="H28">
            <v>183</v>
          </cell>
          <cell r="I28">
            <v>187</v>
          </cell>
          <cell r="J28">
            <v>183</v>
          </cell>
          <cell r="K28">
            <v>183</v>
          </cell>
          <cell r="L28">
            <v>183</v>
          </cell>
          <cell r="M28">
            <v>183</v>
          </cell>
          <cell r="N28">
            <v>183</v>
          </cell>
          <cell r="O28">
            <v>183</v>
          </cell>
          <cell r="P28">
            <v>2200</v>
          </cell>
        </row>
        <row r="29">
          <cell r="A29">
            <v>4450</v>
          </cell>
          <cell r="B29" t="str">
            <v> MAINTENANCE &amp; BUILDING REPAIRS</v>
          </cell>
          <cell r="D29">
            <v>2056</v>
          </cell>
          <cell r="E29">
            <v>2057</v>
          </cell>
          <cell r="F29">
            <v>2157</v>
          </cell>
          <cell r="G29">
            <v>2107</v>
          </cell>
          <cell r="H29">
            <v>2257</v>
          </cell>
          <cell r="I29">
            <v>2267</v>
          </cell>
          <cell r="J29">
            <v>2367</v>
          </cell>
          <cell r="K29">
            <v>2357</v>
          </cell>
          <cell r="L29">
            <v>2307</v>
          </cell>
          <cell r="M29">
            <v>2306</v>
          </cell>
          <cell r="N29">
            <v>2106</v>
          </cell>
          <cell r="O29">
            <v>2056</v>
          </cell>
          <cell r="P29">
            <v>26400</v>
          </cell>
        </row>
        <row r="30">
          <cell r="A30">
            <v>4600</v>
          </cell>
          <cell r="B30" t="str">
            <v> INTEREST EXPENSE</v>
          </cell>
          <cell r="D30">
            <v>410</v>
          </cell>
          <cell r="E30">
            <v>400</v>
          </cell>
          <cell r="F30">
            <v>390</v>
          </cell>
          <cell r="G30">
            <v>380</v>
          </cell>
          <cell r="H30">
            <v>370</v>
          </cell>
          <cell r="I30">
            <v>360</v>
          </cell>
          <cell r="J30">
            <v>350</v>
          </cell>
          <cell r="K30">
            <v>340</v>
          </cell>
          <cell r="L30">
            <v>330</v>
          </cell>
          <cell r="M30">
            <v>320</v>
          </cell>
          <cell r="N30">
            <v>310</v>
          </cell>
          <cell r="O30">
            <v>240</v>
          </cell>
          <cell r="P30">
            <v>4200</v>
          </cell>
        </row>
        <row r="31">
          <cell r="A31">
            <v>4650</v>
          </cell>
          <cell r="B31" t="str">
            <v> ALTAR &amp; LITURGICAL SUPPLIES</v>
          </cell>
          <cell r="D31">
            <v>785</v>
          </cell>
          <cell r="E31">
            <v>789</v>
          </cell>
          <cell r="F31">
            <v>795</v>
          </cell>
          <cell r="G31">
            <v>799</v>
          </cell>
          <cell r="H31">
            <v>1010</v>
          </cell>
          <cell r="I31">
            <v>1174</v>
          </cell>
          <cell r="J31">
            <v>880</v>
          </cell>
          <cell r="K31">
            <v>804</v>
          </cell>
          <cell r="L31">
            <v>805</v>
          </cell>
          <cell r="M31">
            <v>1069</v>
          </cell>
          <cell r="N31">
            <v>805</v>
          </cell>
          <cell r="O31">
            <v>795</v>
          </cell>
          <cell r="P31">
            <v>10510</v>
          </cell>
        </row>
        <row r="32">
          <cell r="A32">
            <v>4700</v>
          </cell>
          <cell r="B32" t="str">
            <v> FURNISHINGS &amp; EQUIPMENT</v>
          </cell>
          <cell r="D32">
            <v>80</v>
          </cell>
          <cell r="E32">
            <v>880</v>
          </cell>
          <cell r="F32">
            <v>530</v>
          </cell>
          <cell r="G32">
            <v>480</v>
          </cell>
          <cell r="H32">
            <v>480</v>
          </cell>
          <cell r="I32">
            <v>520</v>
          </cell>
          <cell r="J32">
            <v>130</v>
          </cell>
          <cell r="K32">
            <v>80</v>
          </cell>
          <cell r="L32">
            <v>80</v>
          </cell>
          <cell r="M32">
            <v>80</v>
          </cell>
          <cell r="N32">
            <v>80</v>
          </cell>
          <cell r="O32">
            <v>80</v>
          </cell>
          <cell r="P32">
            <v>3500</v>
          </cell>
        </row>
        <row r="33">
          <cell r="A33">
            <v>4750</v>
          </cell>
          <cell r="B33" t="str">
            <v> ARCHDIOCESAN ASSESSMENT</v>
          </cell>
          <cell r="D33">
            <v>4347</v>
          </cell>
          <cell r="E33">
            <v>4347</v>
          </cell>
          <cell r="F33">
            <v>4347</v>
          </cell>
          <cell r="G33">
            <v>4347</v>
          </cell>
          <cell r="H33">
            <v>4347</v>
          </cell>
          <cell r="I33">
            <v>4347</v>
          </cell>
          <cell r="J33">
            <v>4347</v>
          </cell>
          <cell r="K33">
            <v>4347</v>
          </cell>
          <cell r="L33">
            <v>4347</v>
          </cell>
          <cell r="M33">
            <v>4347</v>
          </cell>
          <cell r="N33">
            <v>4347</v>
          </cell>
          <cell r="O33">
            <v>4354</v>
          </cell>
          <cell r="P33">
            <v>52171</v>
          </cell>
        </row>
        <row r="34">
          <cell r="A34">
            <v>4760</v>
          </cell>
          <cell r="B34" t="str">
            <v> PRMAA ASSESSMENT</v>
          </cell>
          <cell r="D34">
            <v>1524</v>
          </cell>
          <cell r="E34">
            <v>1524</v>
          </cell>
          <cell r="F34">
            <v>1524</v>
          </cell>
          <cell r="G34">
            <v>1524</v>
          </cell>
          <cell r="H34">
            <v>1524</v>
          </cell>
          <cell r="I34">
            <v>1524</v>
          </cell>
          <cell r="J34">
            <v>1524</v>
          </cell>
          <cell r="K34">
            <v>1524</v>
          </cell>
          <cell r="L34">
            <v>1524</v>
          </cell>
          <cell r="M34">
            <v>1524</v>
          </cell>
          <cell r="N34">
            <v>1524</v>
          </cell>
          <cell r="O34">
            <v>1518</v>
          </cell>
          <cell r="P34">
            <v>18282</v>
          </cell>
        </row>
        <row r="35">
          <cell r="A35">
            <v>4780</v>
          </cell>
          <cell r="B35" t="str">
            <v> PROPERTY/CASUALTY INSURANCE</v>
          </cell>
          <cell r="D35">
            <v>1597</v>
          </cell>
          <cell r="E35">
            <v>1597</v>
          </cell>
          <cell r="F35">
            <v>1597</v>
          </cell>
          <cell r="G35">
            <v>1597</v>
          </cell>
          <cell r="H35">
            <v>1597</v>
          </cell>
          <cell r="I35">
            <v>1597</v>
          </cell>
          <cell r="J35">
            <v>1597</v>
          </cell>
          <cell r="K35">
            <v>1597</v>
          </cell>
          <cell r="L35">
            <v>1597</v>
          </cell>
          <cell r="M35">
            <v>1597</v>
          </cell>
          <cell r="N35">
            <v>1599</v>
          </cell>
          <cell r="O35">
            <v>1599</v>
          </cell>
          <cell r="P35">
            <v>19168</v>
          </cell>
        </row>
        <row r="36">
          <cell r="A36">
            <v>4790</v>
          </cell>
          <cell r="B36" t="str">
            <v> AUTO INSUR-PRIEST OWNED VEHICLE</v>
          </cell>
          <cell r="G36">
            <v>1050</v>
          </cell>
          <cell r="P36">
            <v>1050</v>
          </cell>
        </row>
        <row r="37">
          <cell r="A37">
            <v>4800</v>
          </cell>
          <cell r="B37" t="str">
            <v> MISCELLANEOUS</v>
          </cell>
          <cell r="D37">
            <v>615</v>
          </cell>
          <cell r="E37">
            <v>1115</v>
          </cell>
          <cell r="F37">
            <v>1865</v>
          </cell>
          <cell r="G37">
            <v>2265</v>
          </cell>
          <cell r="H37">
            <v>1915</v>
          </cell>
          <cell r="I37">
            <v>2375</v>
          </cell>
          <cell r="J37">
            <v>2525</v>
          </cell>
          <cell r="K37">
            <v>2165</v>
          </cell>
          <cell r="L37">
            <v>1965</v>
          </cell>
          <cell r="M37">
            <v>2515</v>
          </cell>
          <cell r="N37">
            <v>1865</v>
          </cell>
          <cell r="O37">
            <v>1065</v>
          </cell>
          <cell r="P37">
            <v>22250</v>
          </cell>
        </row>
        <row r="38">
          <cell r="A38" t="str">
            <v>Total Expense</v>
          </cell>
          <cell r="D38">
            <v>47056</v>
          </cell>
          <cell r="E38">
            <v>48551</v>
          </cell>
          <cell r="F38">
            <v>49849</v>
          </cell>
          <cell r="G38">
            <v>51105</v>
          </cell>
          <cell r="H38">
            <v>51337</v>
          </cell>
          <cell r="I38">
            <v>53193</v>
          </cell>
          <cell r="J38">
            <v>52167</v>
          </cell>
          <cell r="K38">
            <v>50476</v>
          </cell>
          <cell r="L38">
            <v>49977</v>
          </cell>
          <cell r="M38">
            <v>50800</v>
          </cell>
          <cell r="N38">
            <v>48378</v>
          </cell>
          <cell r="O38">
            <v>47350</v>
          </cell>
          <cell r="P38">
            <v>600239</v>
          </cell>
        </row>
        <row r="39">
          <cell r="A39" t="str">
            <v>Net Ordinary Income</v>
          </cell>
          <cell r="D39">
            <v>-10072</v>
          </cell>
          <cell r="E39">
            <v>10660</v>
          </cell>
          <cell r="F39">
            <v>19241</v>
          </cell>
          <cell r="G39">
            <v>4061</v>
          </cell>
          <cell r="H39">
            <v>-1923</v>
          </cell>
          <cell r="I39">
            <v>9783</v>
          </cell>
          <cell r="J39">
            <v>-6855</v>
          </cell>
          <cell r="K39">
            <v>-13542</v>
          </cell>
          <cell r="L39">
            <v>-343</v>
          </cell>
          <cell r="M39">
            <v>7096</v>
          </cell>
          <cell r="N39">
            <v>-4894</v>
          </cell>
          <cell r="O39">
            <v>-12216</v>
          </cell>
          <cell r="P39">
            <v>996</v>
          </cell>
        </row>
        <row r="40">
          <cell r="A40" t="str">
            <v>Other Income/Expense</v>
          </cell>
        </row>
        <row r="41">
          <cell r="A41" t="str">
            <v>Other Income</v>
          </cell>
        </row>
        <row r="42">
          <cell r="A42">
            <v>5010</v>
          </cell>
          <cell r="B42" t="str">
            <v> SHARING COLLECTIONS OTH PARISH</v>
          </cell>
          <cell r="D42">
            <v>500</v>
          </cell>
          <cell r="E42">
            <v>500</v>
          </cell>
          <cell r="F42">
            <v>500</v>
          </cell>
          <cell r="G42">
            <v>500</v>
          </cell>
          <cell r="H42">
            <v>500</v>
          </cell>
          <cell r="I42">
            <v>500</v>
          </cell>
          <cell r="J42">
            <v>500</v>
          </cell>
          <cell r="K42">
            <v>500</v>
          </cell>
          <cell r="L42">
            <v>500</v>
          </cell>
          <cell r="M42">
            <v>500</v>
          </cell>
          <cell r="N42">
            <v>500</v>
          </cell>
          <cell r="O42">
            <v>500</v>
          </cell>
          <cell r="P42">
            <v>6000</v>
          </cell>
        </row>
        <row r="43">
          <cell r="A43">
            <v>5030</v>
          </cell>
          <cell r="B43" t="str">
            <v> ARCH REQUIRED COLLECTIONS</v>
          </cell>
          <cell r="D43">
            <v>708</v>
          </cell>
          <cell r="E43">
            <v>708</v>
          </cell>
          <cell r="F43">
            <v>708</v>
          </cell>
          <cell r="G43">
            <v>708</v>
          </cell>
          <cell r="H43">
            <v>712</v>
          </cell>
          <cell r="I43">
            <v>708</v>
          </cell>
          <cell r="J43">
            <v>708</v>
          </cell>
          <cell r="K43">
            <v>708</v>
          </cell>
          <cell r="L43">
            <v>708</v>
          </cell>
          <cell r="M43">
            <v>708</v>
          </cell>
          <cell r="N43">
            <v>708</v>
          </cell>
          <cell r="O43">
            <v>708</v>
          </cell>
          <cell r="P43">
            <v>8500</v>
          </cell>
        </row>
        <row r="44">
          <cell r="A44">
            <v>5050</v>
          </cell>
          <cell r="B44" t="str">
            <v> ESTATES, BEQUESTS &amp; MEMORIALS</v>
          </cell>
          <cell r="H44">
            <v>500</v>
          </cell>
          <cell r="P44">
            <v>500</v>
          </cell>
        </row>
        <row r="45">
          <cell r="A45">
            <v>5060</v>
          </cell>
          <cell r="B45" t="str">
            <v> OTHER EXTRAORDINARY INCOME</v>
          </cell>
          <cell r="D45">
            <v>625</v>
          </cell>
          <cell r="E45">
            <v>625</v>
          </cell>
          <cell r="F45">
            <v>625</v>
          </cell>
          <cell r="G45">
            <v>625</v>
          </cell>
          <cell r="H45">
            <v>625</v>
          </cell>
          <cell r="I45">
            <v>625</v>
          </cell>
          <cell r="J45">
            <v>625</v>
          </cell>
          <cell r="K45">
            <v>625</v>
          </cell>
          <cell r="L45">
            <v>625</v>
          </cell>
          <cell r="M45">
            <v>625</v>
          </cell>
          <cell r="N45">
            <v>625</v>
          </cell>
          <cell r="O45">
            <v>625</v>
          </cell>
          <cell r="P45">
            <v>7500</v>
          </cell>
        </row>
        <row r="46">
          <cell r="A46">
            <v>5110</v>
          </cell>
          <cell r="B46" t="str">
            <v> FUND COLLECTIONS</v>
          </cell>
          <cell r="D46">
            <v>1663</v>
          </cell>
          <cell r="E46">
            <v>1667</v>
          </cell>
          <cell r="F46">
            <v>1667</v>
          </cell>
          <cell r="G46">
            <v>1667</v>
          </cell>
          <cell r="H46">
            <v>1667</v>
          </cell>
          <cell r="I46">
            <v>1667</v>
          </cell>
          <cell r="J46">
            <v>1667</v>
          </cell>
          <cell r="K46">
            <v>1667</v>
          </cell>
          <cell r="L46">
            <v>1667</v>
          </cell>
          <cell r="M46">
            <v>1667</v>
          </cell>
          <cell r="N46">
            <v>1667</v>
          </cell>
          <cell r="O46">
            <v>1667</v>
          </cell>
          <cell r="P46">
            <v>20000</v>
          </cell>
        </row>
        <row r="47">
          <cell r="A47" t="str">
            <v>Total Other Income</v>
          </cell>
          <cell r="D47">
            <v>3496</v>
          </cell>
          <cell r="E47">
            <v>3500</v>
          </cell>
          <cell r="F47">
            <v>3500</v>
          </cell>
          <cell r="G47">
            <v>3500</v>
          </cell>
          <cell r="H47">
            <v>4004</v>
          </cell>
          <cell r="I47">
            <v>3500</v>
          </cell>
          <cell r="J47">
            <v>3500</v>
          </cell>
          <cell r="K47">
            <v>3500</v>
          </cell>
          <cell r="L47">
            <v>3500</v>
          </cell>
          <cell r="M47">
            <v>3500</v>
          </cell>
          <cell r="N47">
            <v>3500</v>
          </cell>
          <cell r="O47">
            <v>3500</v>
          </cell>
          <cell r="P47">
            <v>42500</v>
          </cell>
        </row>
        <row r="48">
          <cell r="A48" t="str">
            <v>Other Expense</v>
          </cell>
        </row>
        <row r="49">
          <cell r="A49">
            <v>6010</v>
          </cell>
          <cell r="B49" t="str">
            <v> SHARE COLLECT PAY TO OTH PARISH</v>
          </cell>
          <cell r="D49">
            <v>500</v>
          </cell>
          <cell r="E49">
            <v>500</v>
          </cell>
          <cell r="F49">
            <v>500</v>
          </cell>
          <cell r="G49">
            <v>500</v>
          </cell>
          <cell r="H49">
            <v>500</v>
          </cell>
          <cell r="I49">
            <v>500</v>
          </cell>
          <cell r="J49">
            <v>500</v>
          </cell>
          <cell r="K49">
            <v>500</v>
          </cell>
          <cell r="L49">
            <v>500</v>
          </cell>
          <cell r="M49">
            <v>500</v>
          </cell>
          <cell r="N49">
            <v>500</v>
          </cell>
          <cell r="O49">
            <v>500</v>
          </cell>
          <cell r="P49">
            <v>6000</v>
          </cell>
        </row>
        <row r="50">
          <cell r="A50">
            <v>6030</v>
          </cell>
          <cell r="B50" t="str">
            <v> PYMT ARCH REQUIRED COLLECTIONS</v>
          </cell>
          <cell r="D50">
            <v>708</v>
          </cell>
          <cell r="E50">
            <v>708</v>
          </cell>
          <cell r="F50">
            <v>708</v>
          </cell>
          <cell r="G50">
            <v>708</v>
          </cell>
          <cell r="H50">
            <v>708</v>
          </cell>
          <cell r="I50">
            <v>712</v>
          </cell>
          <cell r="J50">
            <v>708</v>
          </cell>
          <cell r="K50">
            <v>708</v>
          </cell>
          <cell r="L50">
            <v>708</v>
          </cell>
          <cell r="M50">
            <v>708</v>
          </cell>
          <cell r="N50">
            <v>708</v>
          </cell>
          <cell r="O50">
            <v>708</v>
          </cell>
          <cell r="P50">
            <v>8500</v>
          </cell>
        </row>
        <row r="51">
          <cell r="A51" t="str">
            <v>Total Other Expense</v>
          </cell>
          <cell r="D51">
            <v>1208</v>
          </cell>
          <cell r="E51">
            <v>1208</v>
          </cell>
          <cell r="F51">
            <v>1208</v>
          </cell>
          <cell r="G51">
            <v>1208</v>
          </cell>
          <cell r="H51">
            <v>1208</v>
          </cell>
          <cell r="I51">
            <v>1212</v>
          </cell>
          <cell r="J51">
            <v>1208</v>
          </cell>
          <cell r="K51">
            <v>1208</v>
          </cell>
          <cell r="L51">
            <v>1208</v>
          </cell>
          <cell r="M51">
            <v>1208</v>
          </cell>
          <cell r="N51">
            <v>1208</v>
          </cell>
          <cell r="O51">
            <v>1208</v>
          </cell>
          <cell r="P51">
            <v>14500</v>
          </cell>
        </row>
        <row r="52">
          <cell r="A52" t="str">
            <v>Net Other Income</v>
          </cell>
          <cell r="D52">
            <v>2288</v>
          </cell>
          <cell r="E52">
            <v>2292</v>
          </cell>
          <cell r="F52">
            <v>2292</v>
          </cell>
          <cell r="G52">
            <v>2292</v>
          </cell>
          <cell r="H52">
            <v>2796</v>
          </cell>
          <cell r="I52">
            <v>2288</v>
          </cell>
          <cell r="J52">
            <v>2292</v>
          </cell>
          <cell r="K52">
            <v>2292</v>
          </cell>
          <cell r="L52">
            <v>2292</v>
          </cell>
          <cell r="M52">
            <v>2292</v>
          </cell>
          <cell r="N52">
            <v>2292</v>
          </cell>
          <cell r="O52">
            <v>2292</v>
          </cell>
          <cell r="P52">
            <v>28000</v>
          </cell>
        </row>
        <row r="53">
          <cell r="A53" t="str">
            <v>Net Income</v>
          </cell>
          <cell r="D53">
            <v>-7784</v>
          </cell>
          <cell r="E53">
            <v>12952</v>
          </cell>
          <cell r="F53">
            <v>21533</v>
          </cell>
          <cell r="G53">
            <v>6353</v>
          </cell>
          <cell r="H53">
            <v>873</v>
          </cell>
          <cell r="I53">
            <v>12071</v>
          </cell>
          <cell r="J53">
            <v>-4563</v>
          </cell>
          <cell r="K53">
            <v>-11250</v>
          </cell>
          <cell r="L53">
            <v>1949</v>
          </cell>
          <cell r="M53">
            <v>9388</v>
          </cell>
          <cell r="N53">
            <v>-2602</v>
          </cell>
          <cell r="O53">
            <v>-9924</v>
          </cell>
          <cell r="P53">
            <v>28996</v>
          </cell>
        </row>
        <row r="55">
          <cell r="A55" t="str">
            <v>Key Data</v>
          </cell>
        </row>
        <row r="56">
          <cell r="A56" t="str">
            <v>Average # of Weekly Attendees</v>
          </cell>
          <cell r="C56" t="str">
            <v>580-600</v>
          </cell>
        </row>
        <row r="57">
          <cell r="A57" t="str">
            <v># of Registered Families</v>
          </cell>
          <cell r="C57">
            <v>921</v>
          </cell>
        </row>
        <row r="58">
          <cell r="A58" t="str">
            <v># of Registered Individuals</v>
          </cell>
          <cell r="C58">
            <v>1754</v>
          </cell>
        </row>
        <row r="59">
          <cell r="A59" t="str">
            <v>Average Family Size</v>
          </cell>
          <cell r="C59">
            <v>1.9044516829533116</v>
          </cell>
        </row>
        <row r="61">
          <cell r="A61" t="str">
            <v>Operating Expense</v>
          </cell>
          <cell r="D61">
            <v>47056</v>
          </cell>
          <cell r="E61">
            <v>48551</v>
          </cell>
          <cell r="F61">
            <v>49849</v>
          </cell>
          <cell r="G61">
            <v>51105</v>
          </cell>
          <cell r="H61">
            <v>51337</v>
          </cell>
          <cell r="I61">
            <v>53193</v>
          </cell>
          <cell r="J61">
            <v>52167</v>
          </cell>
          <cell r="K61">
            <v>50476</v>
          </cell>
          <cell r="L61">
            <v>49977</v>
          </cell>
          <cell r="M61">
            <v>50800</v>
          </cell>
          <cell r="N61">
            <v>48378</v>
          </cell>
          <cell r="O61">
            <v>47350</v>
          </cell>
          <cell r="P61">
            <v>600239</v>
          </cell>
        </row>
        <row r="62">
          <cell r="A62" t="str">
            <v>Other Expense</v>
          </cell>
          <cell r="D62">
            <v>1208</v>
          </cell>
          <cell r="E62">
            <v>1208</v>
          </cell>
          <cell r="F62">
            <v>1208</v>
          </cell>
          <cell r="G62">
            <v>1208</v>
          </cell>
          <cell r="H62">
            <v>1208</v>
          </cell>
          <cell r="I62">
            <v>1212</v>
          </cell>
          <cell r="J62">
            <v>1208</v>
          </cell>
          <cell r="K62">
            <v>1208</v>
          </cell>
          <cell r="L62">
            <v>1208</v>
          </cell>
          <cell r="M62">
            <v>1208</v>
          </cell>
          <cell r="N62">
            <v>1208</v>
          </cell>
          <cell r="O62">
            <v>1208</v>
          </cell>
          <cell r="P62">
            <v>14500</v>
          </cell>
        </row>
        <row r="63">
          <cell r="A63" t="str">
            <v>Total Expense</v>
          </cell>
          <cell r="D63">
            <v>48264</v>
          </cell>
          <cell r="E63">
            <v>49759</v>
          </cell>
          <cell r="F63">
            <v>51057</v>
          </cell>
          <cell r="G63">
            <v>52313</v>
          </cell>
          <cell r="H63">
            <v>52545</v>
          </cell>
          <cell r="I63">
            <v>54405</v>
          </cell>
          <cell r="J63">
            <v>53375</v>
          </cell>
          <cell r="K63">
            <v>51684</v>
          </cell>
          <cell r="L63">
            <v>51185</v>
          </cell>
          <cell r="M63">
            <v>52008</v>
          </cell>
          <cell r="N63">
            <v>49586</v>
          </cell>
          <cell r="O63">
            <v>48558</v>
          </cell>
          <cell r="P63">
            <v>614739</v>
          </cell>
        </row>
        <row r="65">
          <cell r="A65" t="str">
            <v>Individual Cost: 500 Attendee Basis</v>
          </cell>
        </row>
        <row r="66">
          <cell r="A66" t="str">
            <v>Average # of Weekly Attendees</v>
          </cell>
          <cell r="C66">
            <v>500</v>
          </cell>
        </row>
        <row r="67">
          <cell r="A67" t="str">
            <v>Cost Per Attendee</v>
          </cell>
          <cell r="D67">
            <v>96.528</v>
          </cell>
          <cell r="E67">
            <v>99.518</v>
          </cell>
          <cell r="F67">
            <v>102.114</v>
          </cell>
          <cell r="G67">
            <v>104.626</v>
          </cell>
          <cell r="H67">
            <v>105.09</v>
          </cell>
          <cell r="I67">
            <v>108.81</v>
          </cell>
          <cell r="J67">
            <v>106.75</v>
          </cell>
          <cell r="K67">
            <v>103.368</v>
          </cell>
          <cell r="L67">
            <v>102.37</v>
          </cell>
          <cell r="M67">
            <v>104.016</v>
          </cell>
          <cell r="N67">
            <v>99.172</v>
          </cell>
          <cell r="O67">
            <v>97.116</v>
          </cell>
          <cell r="P67">
            <v>1229.478</v>
          </cell>
        </row>
        <row r="68">
          <cell r="A68" t="str">
            <v>Average Weekly Cost Per Attendee</v>
          </cell>
          <cell r="C68">
            <v>23.643807692307693</v>
          </cell>
        </row>
        <row r="69">
          <cell r="A69" t="str">
            <v>Average Monthly Cost Per Attendee</v>
          </cell>
          <cell r="C69">
            <v>102.45649999999999</v>
          </cell>
        </row>
        <row r="70">
          <cell r="A70" t="str">
            <v>Average Annual Cost Per Attendee</v>
          </cell>
          <cell r="C70">
            <v>1229.478</v>
          </cell>
        </row>
        <row r="72">
          <cell r="A72" t="str">
            <v>Individual Cost: 500 Attendee Basis</v>
          </cell>
        </row>
        <row r="73">
          <cell r="A73" t="str">
            <v>Average # of Weekly Attendees</v>
          </cell>
          <cell r="C73">
            <v>600</v>
          </cell>
        </row>
        <row r="74">
          <cell r="A74" t="str">
            <v>Cost Per Attendee</v>
          </cell>
          <cell r="D74">
            <v>80.44</v>
          </cell>
          <cell r="E74">
            <v>82.93166666666667</v>
          </cell>
          <cell r="F74">
            <v>85.095</v>
          </cell>
          <cell r="G74">
            <v>87.18833333333333</v>
          </cell>
          <cell r="H74">
            <v>87.575</v>
          </cell>
          <cell r="I74">
            <v>90.675</v>
          </cell>
          <cell r="J74">
            <v>88.95833333333333</v>
          </cell>
          <cell r="K74">
            <v>86.14</v>
          </cell>
          <cell r="L74">
            <v>85.30833333333334</v>
          </cell>
          <cell r="M74">
            <v>86.68</v>
          </cell>
          <cell r="N74">
            <v>82.64333333333333</v>
          </cell>
          <cell r="O74">
            <v>80.93</v>
          </cell>
          <cell r="P74">
            <v>1024.565</v>
          </cell>
        </row>
        <row r="75">
          <cell r="A75" t="str">
            <v>Average Weekly Cost Per Attendee</v>
          </cell>
          <cell r="C75">
            <v>19.70317307692308</v>
          </cell>
        </row>
        <row r="76">
          <cell r="A76" t="str">
            <v>Average Monthly Cost Per Attendee</v>
          </cell>
          <cell r="C76">
            <v>85.38041666666668</v>
          </cell>
        </row>
        <row r="77">
          <cell r="A77" t="str">
            <v>Average Annual Cost Per Attendee</v>
          </cell>
          <cell r="C77">
            <v>1024.565</v>
          </cell>
        </row>
        <row r="79">
          <cell r="A79" t="str">
            <v>Individual Cost: Registered Family</v>
          </cell>
        </row>
        <row r="80">
          <cell r="A80" t="str">
            <v>Cost Per Family</v>
          </cell>
          <cell r="D80">
            <v>52.40390879478827</v>
          </cell>
          <cell r="E80">
            <v>54.0271444082519</v>
          </cell>
          <cell r="F80">
            <v>55.43648208469055</v>
          </cell>
          <cell r="G80">
            <v>56.80021715526602</v>
          </cell>
          <cell r="H80">
            <v>57.05211726384365</v>
          </cell>
          <cell r="I80">
            <v>59.071661237785015</v>
          </cell>
          <cell r="J80">
            <v>57.95331161780673</v>
          </cell>
          <cell r="K80">
            <v>56.11726384364821</v>
          </cell>
          <cell r="L80">
            <v>55.57546145494028</v>
          </cell>
          <cell r="M80">
            <v>56.469055374592834</v>
          </cell>
          <cell r="N80">
            <v>53.83930510314875</v>
          </cell>
          <cell r="O80">
            <v>52.72312703583062</v>
          </cell>
          <cell r="P80">
            <v>667.4690553745928</v>
          </cell>
        </row>
        <row r="81">
          <cell r="A81" t="str">
            <v>Average Weekly Cost Per Family</v>
          </cell>
          <cell r="C81">
            <v>12.835943372588323</v>
          </cell>
        </row>
        <row r="82">
          <cell r="A82" t="str">
            <v>Average Monthly Cost Per Family</v>
          </cell>
          <cell r="C82">
            <v>55.62242128121607</v>
          </cell>
        </row>
        <row r="83">
          <cell r="A83" t="str">
            <v>Average Annual Cost Per Family</v>
          </cell>
          <cell r="C83">
            <v>667.4690553745928</v>
          </cell>
        </row>
      </sheetData>
      <sheetData sheetId="1">
        <row r="1">
          <cell r="C1" t="str">
            <v>2007A</v>
          </cell>
          <cell r="D1" t="str">
            <v>2008A</v>
          </cell>
          <cell r="E1" t="str">
            <v>2009A (2Q)</v>
          </cell>
          <cell r="F1" t="str">
            <v>2010E</v>
          </cell>
          <cell r="G1" t="str">
            <v>2010E Adjusted</v>
          </cell>
        </row>
        <row r="3">
          <cell r="A3" t="str">
            <v>Total Operating Revenue</v>
          </cell>
          <cell r="F3">
            <v>598740</v>
          </cell>
          <cell r="G3">
            <v>557505.6</v>
          </cell>
        </row>
        <row r="4">
          <cell r="A4" t="str">
            <v>Total Operating Expense</v>
          </cell>
          <cell r="F4">
            <v>597414</v>
          </cell>
          <cell r="G4">
            <v>624479.7</v>
          </cell>
        </row>
        <row r="5">
          <cell r="A5" t="str">
            <v>Net Operating Profit</v>
          </cell>
          <cell r="F5">
            <v>1326</v>
          </cell>
          <cell r="G5">
            <v>-66974.09999999998</v>
          </cell>
        </row>
        <row r="7">
          <cell r="A7" t="str">
            <v>Total Extraordinary Operating Revenue</v>
          </cell>
          <cell r="F7">
            <v>32750</v>
          </cell>
          <cell r="G7">
            <v>31112.5</v>
          </cell>
        </row>
        <row r="8">
          <cell r="A8" t="str">
            <v>Total Extraordinary Operating Expense</v>
          </cell>
          <cell r="F8">
            <v>25250</v>
          </cell>
          <cell r="G8">
            <v>26512.5</v>
          </cell>
        </row>
        <row r="9">
          <cell r="A9" t="str">
            <v>Net Extraordinary Profit</v>
          </cell>
          <cell r="F9">
            <v>7500</v>
          </cell>
          <cell r="G9">
            <v>4600</v>
          </cell>
        </row>
        <row r="11">
          <cell r="A11" t="str">
            <v>Total Capital Revenues</v>
          </cell>
          <cell r="F11">
            <v>250000</v>
          </cell>
          <cell r="G11">
            <v>237500</v>
          </cell>
        </row>
        <row r="12">
          <cell r="A12" t="str">
            <v>Total Capital Expenditures</v>
          </cell>
          <cell r="F12">
            <v>243500</v>
          </cell>
          <cell r="G12">
            <v>255675</v>
          </cell>
        </row>
        <row r="13">
          <cell r="A13" t="str">
            <v>Net Capital Profit</v>
          </cell>
          <cell r="F13">
            <v>6500</v>
          </cell>
          <cell r="G13">
            <v>-18175</v>
          </cell>
        </row>
        <row r="16">
          <cell r="A16" t="str">
            <v>Ordinary Revenues</v>
          </cell>
        </row>
        <row r="18">
          <cell r="A18">
            <v>3000</v>
          </cell>
          <cell r="B18" t="str">
            <v>SUNDAY &amp; HOLY DAY COLLECTIONS</v>
          </cell>
          <cell r="C18">
            <v>369446</v>
          </cell>
          <cell r="D18">
            <v>411185</v>
          </cell>
          <cell r="E18">
            <v>211487</v>
          </cell>
          <cell r="F18">
            <v>425900</v>
          </cell>
          <cell r="G18">
            <v>390625.75</v>
          </cell>
        </row>
        <row r="19">
          <cell r="B19" t="str">
            <v>Sunday Collections</v>
          </cell>
          <cell r="C19">
            <v>367933</v>
          </cell>
          <cell r="D19">
            <v>410314</v>
          </cell>
          <cell r="E19">
            <v>210762</v>
          </cell>
          <cell r="F19">
            <v>425000</v>
          </cell>
          <cell r="G19">
            <v>389798.3</v>
          </cell>
        </row>
        <row r="20">
          <cell r="B20" t="str">
            <v>Holy Day Collections</v>
          </cell>
          <cell r="C20">
            <v>1513</v>
          </cell>
          <cell r="D20">
            <v>871</v>
          </cell>
          <cell r="E20">
            <v>725</v>
          </cell>
          <cell r="F20">
            <v>900</v>
          </cell>
          <cell r="G20">
            <v>827.45</v>
          </cell>
        </row>
        <row r="22">
          <cell r="A22">
            <v>3020</v>
          </cell>
          <cell r="B22" t="str">
            <v>CHRISTMAS COLLECTION</v>
          </cell>
          <cell r="C22">
            <v>36477</v>
          </cell>
          <cell r="D22">
            <v>39084</v>
          </cell>
          <cell r="E22">
            <v>39595</v>
          </cell>
          <cell r="F22">
            <v>37000</v>
          </cell>
          <cell r="G22">
            <v>37129.8</v>
          </cell>
        </row>
        <row r="23">
          <cell r="B23" t="str">
            <v>Christmas Collection</v>
          </cell>
          <cell r="C23">
            <v>36477</v>
          </cell>
          <cell r="D23">
            <v>39084</v>
          </cell>
          <cell r="E23">
            <v>39595</v>
          </cell>
          <cell r="F23">
            <v>37000</v>
          </cell>
          <cell r="G23">
            <v>37129.8</v>
          </cell>
        </row>
        <row r="25">
          <cell r="A25">
            <v>3030</v>
          </cell>
          <cell r="B25" t="str">
            <v>EASTER COLLECTION</v>
          </cell>
          <cell r="C25">
            <v>36085</v>
          </cell>
          <cell r="D25">
            <v>25938</v>
          </cell>
          <cell r="E25">
            <v>0</v>
          </cell>
          <cell r="F25">
            <v>26000</v>
          </cell>
          <cell r="G25">
            <v>24641.1</v>
          </cell>
        </row>
        <row r="26">
          <cell r="B26" t="str">
            <v>Easter Collection</v>
          </cell>
          <cell r="C26">
            <v>36085</v>
          </cell>
          <cell r="D26">
            <v>25938</v>
          </cell>
          <cell r="F26">
            <v>26000</v>
          </cell>
          <cell r="G26">
            <v>24641.1</v>
          </cell>
        </row>
        <row r="28">
          <cell r="A28">
            <v>3040</v>
          </cell>
          <cell r="B28" t="str">
            <v>OTHER COLLECTIONS </v>
          </cell>
          <cell r="C28">
            <v>8802</v>
          </cell>
          <cell r="D28">
            <v>8121</v>
          </cell>
          <cell r="E28">
            <v>3564</v>
          </cell>
          <cell r="F28">
            <v>7700</v>
          </cell>
          <cell r="G28">
            <v>7714.95</v>
          </cell>
        </row>
        <row r="29">
          <cell r="B29" t="str">
            <v>Flowers</v>
          </cell>
          <cell r="C29">
            <v>287</v>
          </cell>
          <cell r="D29">
            <v>882</v>
          </cell>
          <cell r="E29">
            <v>348</v>
          </cell>
          <cell r="F29">
            <v>700</v>
          </cell>
          <cell r="G29">
            <v>837.9</v>
          </cell>
        </row>
        <row r="30">
          <cell r="B30" t="str">
            <v>Building Mantienance</v>
          </cell>
          <cell r="C30">
            <v>8515</v>
          </cell>
          <cell r="D30">
            <v>7239</v>
          </cell>
          <cell r="E30">
            <v>3216</v>
          </cell>
          <cell r="F30">
            <v>7000</v>
          </cell>
          <cell r="G30">
            <v>6877.05</v>
          </cell>
        </row>
        <row r="32">
          <cell r="A32">
            <v>3100</v>
          </cell>
          <cell r="B32" t="str">
            <v>TUITION</v>
          </cell>
          <cell r="F32">
            <v>13575</v>
          </cell>
          <cell r="G32">
            <v>12896.25</v>
          </cell>
        </row>
        <row r="33">
          <cell r="B33" t="str">
            <v>Catechesis of the Good Shepherd</v>
          </cell>
          <cell r="F33">
            <v>10000</v>
          </cell>
          <cell r="G33">
            <v>9500</v>
          </cell>
        </row>
        <row r="34">
          <cell r="B34" t="str">
            <v>Traditional CCD</v>
          </cell>
          <cell r="F34">
            <v>1875</v>
          </cell>
          <cell r="G34">
            <v>1781.25</v>
          </cell>
        </row>
        <row r="35">
          <cell r="B35" t="str">
            <v>CCFC - French Religious Education</v>
          </cell>
          <cell r="F35">
            <v>1700</v>
          </cell>
          <cell r="G35">
            <v>1615</v>
          </cell>
        </row>
        <row r="37">
          <cell r="A37">
            <v>3110</v>
          </cell>
          <cell r="B37" t="str">
            <v>FEES</v>
          </cell>
          <cell r="F37">
            <v>850</v>
          </cell>
          <cell r="G37">
            <v>807.5</v>
          </cell>
        </row>
        <row r="38">
          <cell r="B38" t="str">
            <v>Religious Education Fees</v>
          </cell>
          <cell r="F38">
            <v>500</v>
          </cell>
          <cell r="G38">
            <v>475</v>
          </cell>
        </row>
        <row r="40">
          <cell r="B40" t="str">
            <v>Marriage "Prepare" Fees</v>
          </cell>
          <cell r="F40">
            <v>350</v>
          </cell>
          <cell r="G40">
            <v>332.5</v>
          </cell>
        </row>
        <row r="42">
          <cell r="A42">
            <v>3200</v>
          </cell>
          <cell r="B42" t="str">
            <v>BOOKSTORE INCOME</v>
          </cell>
          <cell r="F42">
            <v>0</v>
          </cell>
          <cell r="G42">
            <v>0</v>
          </cell>
        </row>
        <row r="44">
          <cell r="A44">
            <v>3350</v>
          </cell>
          <cell r="B44" t="str">
            <v>LEASE AND/OR RENTAL INCOME</v>
          </cell>
          <cell r="F44">
            <v>10000</v>
          </cell>
          <cell r="G44">
            <v>9500</v>
          </cell>
        </row>
        <row r="45">
          <cell r="B45" t="str">
            <v>Parking Income</v>
          </cell>
          <cell r="F45">
            <v>7500</v>
          </cell>
          <cell r="G45">
            <v>7125</v>
          </cell>
        </row>
        <row r="46">
          <cell r="B46" t="str">
            <v>Hall Rental</v>
          </cell>
          <cell r="F46">
            <v>2500</v>
          </cell>
          <cell r="G46">
            <v>2375</v>
          </cell>
        </row>
        <row r="48">
          <cell r="A48">
            <v>3450</v>
          </cell>
          <cell r="B48" t="str">
            <v>FUND RAISING NET INCOME</v>
          </cell>
          <cell r="F48">
            <v>63900</v>
          </cell>
          <cell r="G48">
            <v>60705</v>
          </cell>
        </row>
        <row r="49">
          <cell r="B49" t="str">
            <v>Major annual fund raiser (Nov 20, 2009)</v>
          </cell>
          <cell r="F49">
            <v>60000</v>
          </cell>
          <cell r="G49">
            <v>57000</v>
          </cell>
        </row>
        <row r="50">
          <cell r="B50" t="str">
            <v>Greenery sale</v>
          </cell>
          <cell r="F50">
            <v>500</v>
          </cell>
          <cell r="G50">
            <v>475</v>
          </cell>
        </row>
        <row r="51">
          <cell r="B51" t="str">
            <v>Breakfast with Santa</v>
          </cell>
          <cell r="F51">
            <v>800</v>
          </cell>
          <cell r="G51">
            <v>760</v>
          </cell>
        </row>
        <row r="52">
          <cell r="B52" t="str">
            <v>Book Sale</v>
          </cell>
          <cell r="F52">
            <v>1000</v>
          </cell>
          <cell r="G52">
            <v>950</v>
          </cell>
        </row>
        <row r="53">
          <cell r="B53" t="str">
            <v>Recycling</v>
          </cell>
          <cell r="F53">
            <v>600</v>
          </cell>
          <cell r="G53">
            <v>570</v>
          </cell>
        </row>
        <row r="54">
          <cell r="B54" t="str">
            <v>Dinner Dance</v>
          </cell>
          <cell r="F54">
            <v>1000</v>
          </cell>
          <cell r="G54">
            <v>950</v>
          </cell>
        </row>
        <row r="56">
          <cell r="A56">
            <v>3500</v>
          </cell>
          <cell r="B56" t="str">
            <v>INTEREST &amp; INVESTMENT INCOME</v>
          </cell>
          <cell r="F56">
            <v>315</v>
          </cell>
          <cell r="G56">
            <v>299.25</v>
          </cell>
        </row>
        <row r="57">
          <cell r="B57" t="str">
            <v>Bal with Arch</v>
          </cell>
          <cell r="F57">
            <v>240</v>
          </cell>
          <cell r="G57">
            <v>228</v>
          </cell>
        </row>
        <row r="58">
          <cell r="B58" t="str">
            <v>Bal with Bank</v>
          </cell>
          <cell r="F58">
            <v>75</v>
          </cell>
          <cell r="G58">
            <v>71.25</v>
          </cell>
        </row>
        <row r="60">
          <cell r="A60">
            <v>3550</v>
          </cell>
          <cell r="B60" t="str">
            <v>BINGO INCOME</v>
          </cell>
          <cell r="F60">
            <v>0</v>
          </cell>
          <cell r="G60">
            <v>0</v>
          </cell>
        </row>
        <row r="62">
          <cell r="A62">
            <v>3600</v>
          </cell>
          <cell r="B62" t="str">
            <v>AUXILIARY GROUPS</v>
          </cell>
          <cell r="F62">
            <v>0</v>
          </cell>
          <cell r="G62">
            <v>0</v>
          </cell>
        </row>
        <row r="64">
          <cell r="A64">
            <v>3700</v>
          </cell>
          <cell r="B64" t="str">
            <v>MISCELLANEOUS INCOME </v>
          </cell>
          <cell r="F64">
            <v>13500</v>
          </cell>
          <cell r="G64">
            <v>13186</v>
          </cell>
        </row>
        <row r="65">
          <cell r="B65" t="str">
            <v>Weddings</v>
          </cell>
          <cell r="F65">
            <v>4000</v>
          </cell>
          <cell r="G65">
            <v>3800</v>
          </cell>
        </row>
        <row r="66">
          <cell r="B66" t="str">
            <v>Baptisms</v>
          </cell>
          <cell r="F66">
            <v>2000</v>
          </cell>
          <cell r="G66">
            <v>1900</v>
          </cell>
        </row>
        <row r="67">
          <cell r="B67" t="str">
            <v>Mass Stipends (1/2 with Intentions)</v>
          </cell>
          <cell r="F67">
            <v>1300</v>
          </cell>
          <cell r="G67">
            <v>1235</v>
          </cell>
        </row>
        <row r="68">
          <cell r="B68" t="str">
            <v>Votive Candles</v>
          </cell>
          <cell r="C68">
            <v>2582</v>
          </cell>
          <cell r="D68">
            <v>2880</v>
          </cell>
          <cell r="E68">
            <v>1248</v>
          </cell>
          <cell r="F68">
            <v>2500</v>
          </cell>
          <cell r="G68">
            <v>2736</v>
          </cell>
        </row>
        <row r="69">
          <cell r="B69" t="str">
            <v>Coffee &amp; Donuts (9:00 am)</v>
          </cell>
          <cell r="F69">
            <v>1200</v>
          </cell>
          <cell r="G69">
            <v>1140</v>
          </cell>
        </row>
        <row r="70">
          <cell r="B70" t="str">
            <v>Other donations</v>
          </cell>
          <cell r="F70">
            <v>2500</v>
          </cell>
          <cell r="G70">
            <v>2375</v>
          </cell>
        </row>
        <row r="72">
          <cell r="A72" t="str">
            <v>Total Operating Revenue</v>
          </cell>
          <cell r="F72">
            <v>598740</v>
          </cell>
          <cell r="G72">
            <v>557505.6</v>
          </cell>
        </row>
        <row r="74">
          <cell r="A74" t="str">
            <v>Ordinar Expense</v>
          </cell>
        </row>
        <row r="76">
          <cell r="A76">
            <v>4010</v>
          </cell>
          <cell r="B76" t="str">
            <v>SALARIES</v>
          </cell>
          <cell r="F76">
            <v>260464</v>
          </cell>
          <cell r="G76">
            <v>273487.2</v>
          </cell>
        </row>
        <row r="78">
          <cell r="A78">
            <v>4030</v>
          </cell>
          <cell r="B78" t="str">
            <v>HEALTH INSURANCE  EMPLOYER PAID</v>
          </cell>
          <cell r="F78">
            <v>35520</v>
          </cell>
          <cell r="G78">
            <v>37296</v>
          </cell>
        </row>
        <row r="80">
          <cell r="A80">
            <v>4040</v>
          </cell>
          <cell r="B80" t="str">
            <v>EMPLOYER FICA</v>
          </cell>
          <cell r="F80">
            <v>16263</v>
          </cell>
          <cell r="G80">
            <v>17076.15</v>
          </cell>
        </row>
        <row r="82">
          <cell r="A82">
            <v>4050</v>
          </cell>
          <cell r="B82" t="str">
            <v>FRINGE BENEFITS</v>
          </cell>
          <cell r="F82">
            <v>11131</v>
          </cell>
          <cell r="G82">
            <v>11687.55</v>
          </cell>
        </row>
        <row r="84">
          <cell r="A84">
            <v>4060</v>
          </cell>
          <cell r="B84" t="str">
            <v>PROFESSIONAL GROWTH/ MINISTERIAL/ OTHER</v>
          </cell>
          <cell r="F84">
            <v>13400</v>
          </cell>
          <cell r="G84">
            <v>14070</v>
          </cell>
        </row>
        <row r="86">
          <cell r="A86">
            <v>4100</v>
          </cell>
          <cell r="B86" t="str">
            <v>BOOKS &amp; SUPPLIES, NON LITURGICAL</v>
          </cell>
          <cell r="F86">
            <v>5250</v>
          </cell>
          <cell r="G86">
            <v>5512.5</v>
          </cell>
        </row>
        <row r="87">
          <cell r="B87" t="str">
            <v>Catechisms - RCIA</v>
          </cell>
          <cell r="F87">
            <v>100</v>
          </cell>
          <cell r="G87">
            <v>105</v>
          </cell>
        </row>
        <row r="88">
          <cell r="B88" t="str">
            <v>Bibles - RCIA</v>
          </cell>
          <cell r="F88">
            <v>50</v>
          </cell>
          <cell r="G88">
            <v>52.5</v>
          </cell>
        </row>
        <row r="89">
          <cell r="B89" t="str">
            <v>Traditional CCD books and materials</v>
          </cell>
          <cell r="F89">
            <v>500</v>
          </cell>
          <cell r="G89">
            <v>525</v>
          </cell>
        </row>
        <row r="90">
          <cell r="B90" t="str">
            <v>Cat. of the Good Shepherd books and materials</v>
          </cell>
          <cell r="F90">
            <v>1000</v>
          </cell>
          <cell r="G90">
            <v>1050</v>
          </cell>
        </row>
        <row r="91">
          <cell r="B91" t="str">
            <v>CCFC - French CCD Books and materials</v>
          </cell>
          <cell r="F91">
            <v>300</v>
          </cell>
          <cell r="G91">
            <v>315</v>
          </cell>
        </row>
        <row r="92">
          <cell r="B92" t="str">
            <v>SPRED Materials</v>
          </cell>
          <cell r="F92">
            <v>300</v>
          </cell>
          <cell r="G92">
            <v>315</v>
          </cell>
        </row>
        <row r="93">
          <cell r="B93" t="str">
            <v>CDs for resale</v>
          </cell>
          <cell r="F93">
            <v>200</v>
          </cell>
          <cell r="G93">
            <v>210</v>
          </cell>
        </row>
        <row r="94">
          <cell r="B94" t="str">
            <v>Newspapers, magazines and pamphlets</v>
          </cell>
          <cell r="F94">
            <v>800</v>
          </cell>
          <cell r="G94">
            <v>840</v>
          </cell>
        </row>
        <row r="95">
          <cell r="B95" t="str">
            <v>Offertory supplies (contribution envelopes primarily)</v>
          </cell>
          <cell r="F95">
            <v>2000</v>
          </cell>
          <cell r="G95">
            <v>2100</v>
          </cell>
        </row>
        <row r="97">
          <cell r="A97">
            <v>4150</v>
          </cell>
          <cell r="B97" t="str">
            <v>ADMINISTRATIVE EXPENSES</v>
          </cell>
          <cell r="F97">
            <v>20240</v>
          </cell>
          <cell r="G97">
            <v>21252</v>
          </cell>
        </row>
        <row r="98">
          <cell r="B98" t="str">
            <v>Office Equip. -Supplies and maintenance</v>
          </cell>
          <cell r="F98">
            <v>2000</v>
          </cell>
          <cell r="G98">
            <v>2100</v>
          </cell>
        </row>
        <row r="99">
          <cell r="B99" t="str">
            <v>Postage</v>
          </cell>
          <cell r="F99">
            <v>2500</v>
          </cell>
          <cell r="G99">
            <v>2625</v>
          </cell>
        </row>
        <row r="100">
          <cell r="B100" t="str">
            <v>Bank Fees (Primarily discounts and fees on credits card donations)</v>
          </cell>
          <cell r="F100">
            <v>6000</v>
          </cell>
          <cell r="G100">
            <v>6300</v>
          </cell>
        </row>
        <row r="101">
          <cell r="B101" t="str">
            <v>Outside printing costs</v>
          </cell>
          <cell r="F101">
            <v>2200</v>
          </cell>
          <cell r="G101">
            <v>2310</v>
          </cell>
        </row>
        <row r="102">
          <cell r="B102" t="str">
            <v>Professional service fees</v>
          </cell>
        </row>
        <row r="103">
          <cell r="B103" t="str">
            <v>   Outside technical assistance (Telph &amp; Network)</v>
          </cell>
          <cell r="F103">
            <v>2500</v>
          </cell>
          <cell r="G103">
            <v>2625</v>
          </cell>
        </row>
        <row r="104">
          <cell r="B104" t="str">
            <v>   Assistant at Church of Our Saviour (CGS)</v>
          </cell>
          <cell r="F104">
            <v>1500</v>
          </cell>
          <cell r="G104">
            <v>1575</v>
          </cell>
        </row>
        <row r="105">
          <cell r="B105" t="str">
            <v>   Payroll processing</v>
          </cell>
          <cell r="F105">
            <v>1040</v>
          </cell>
          <cell r="G105">
            <v>1092</v>
          </cell>
        </row>
        <row r="106">
          <cell r="B106" t="str">
            <v>Office supplies (Paper &amp; Other General Office Supplies)</v>
          </cell>
          <cell r="F106">
            <v>1500</v>
          </cell>
          <cell r="G106">
            <v>1575</v>
          </cell>
        </row>
        <row r="107">
          <cell r="B107" t="str">
            <v>Other</v>
          </cell>
          <cell r="F107">
            <v>1000</v>
          </cell>
          <cell r="G107">
            <v>1050</v>
          </cell>
        </row>
        <row r="109">
          <cell r="A109">
            <v>4200</v>
          </cell>
          <cell r="B109" t="str">
            <v>TRANSPORTATION</v>
          </cell>
          <cell r="F109">
            <v>500</v>
          </cell>
          <cell r="G109">
            <v>525</v>
          </cell>
        </row>
        <row r="110">
          <cell r="B110" t="str">
            <v>Reimbursement of employee travel expenses</v>
          </cell>
          <cell r="F110">
            <v>500</v>
          </cell>
          <cell r="G110">
            <v>525</v>
          </cell>
        </row>
        <row r="112">
          <cell r="A112">
            <v>4250</v>
          </cell>
          <cell r="B112" t="str">
            <v>FOOD SERVICES &amp; MEALS</v>
          </cell>
          <cell r="F112">
            <v>12798</v>
          </cell>
          <cell r="G112">
            <v>13437.9</v>
          </cell>
        </row>
        <row r="113">
          <cell r="B113" t="str">
            <v>Priest meal allowance</v>
          </cell>
          <cell r="F113">
            <v>6048</v>
          </cell>
          <cell r="G113">
            <v>6350.4</v>
          </cell>
        </row>
        <row r="114">
          <cell r="B114" t="str">
            <v>Groceries</v>
          </cell>
          <cell r="F114">
            <v>6000</v>
          </cell>
          <cell r="G114">
            <v>6300</v>
          </cell>
        </row>
        <row r="115">
          <cell r="B115" t="str">
            <v>Catering</v>
          </cell>
          <cell r="F115">
            <v>750</v>
          </cell>
          <cell r="G115">
            <v>787.5</v>
          </cell>
        </row>
        <row r="117">
          <cell r="A117">
            <v>4400</v>
          </cell>
          <cell r="B117" t="str">
            <v>TELEPHONE</v>
          </cell>
          <cell r="C117">
            <v>2332</v>
          </cell>
          <cell r="D117">
            <v>1935</v>
          </cell>
          <cell r="E117">
            <v>1420</v>
          </cell>
          <cell r="F117">
            <v>2800</v>
          </cell>
          <cell r="G117">
            <v>2940</v>
          </cell>
        </row>
        <row r="118">
          <cell r="B118" t="str">
            <v>Telephone</v>
          </cell>
          <cell r="C118">
            <v>2332</v>
          </cell>
          <cell r="D118">
            <v>1935</v>
          </cell>
          <cell r="E118">
            <v>1420</v>
          </cell>
          <cell r="F118">
            <v>2800</v>
          </cell>
          <cell r="G118">
            <v>2940</v>
          </cell>
        </row>
        <row r="120">
          <cell r="A120">
            <v>4410</v>
          </cell>
          <cell r="B120" t="str">
            <v>HEATING FUEL</v>
          </cell>
          <cell r="C120">
            <v>19156</v>
          </cell>
          <cell r="D120">
            <v>21660</v>
          </cell>
          <cell r="E120">
            <v>8640</v>
          </cell>
          <cell r="F120">
            <v>25000</v>
          </cell>
          <cell r="G120">
            <v>26250</v>
          </cell>
        </row>
        <row r="121">
          <cell r="B121" t="str">
            <v>Heating Fuel</v>
          </cell>
          <cell r="C121">
            <v>19156</v>
          </cell>
          <cell r="D121">
            <v>21660</v>
          </cell>
          <cell r="E121">
            <v>8640</v>
          </cell>
          <cell r="F121">
            <v>25000</v>
          </cell>
          <cell r="G121">
            <v>26250</v>
          </cell>
        </row>
        <row r="123">
          <cell r="A123">
            <v>4420</v>
          </cell>
          <cell r="B123" t="str">
            <v>ELECTRICITY</v>
          </cell>
          <cell r="C123">
            <v>16915</v>
          </cell>
          <cell r="D123">
            <v>14415</v>
          </cell>
          <cell r="E123">
            <v>9472</v>
          </cell>
          <cell r="F123">
            <v>18000</v>
          </cell>
          <cell r="G123">
            <v>18900</v>
          </cell>
        </row>
        <row r="124">
          <cell r="B124" t="str">
            <v>Electricity</v>
          </cell>
          <cell r="C124">
            <v>16915</v>
          </cell>
          <cell r="D124">
            <v>14415</v>
          </cell>
          <cell r="E124">
            <v>9472</v>
          </cell>
          <cell r="F124">
            <v>18000</v>
          </cell>
          <cell r="G124">
            <v>18900</v>
          </cell>
        </row>
        <row r="126">
          <cell r="A126">
            <v>4430</v>
          </cell>
          <cell r="B126" t="str">
            <v>OTHER UTILITIES</v>
          </cell>
          <cell r="F126">
            <v>2630</v>
          </cell>
          <cell r="G126">
            <v>2761.5</v>
          </cell>
        </row>
        <row r="127">
          <cell r="B127" t="str">
            <v>Water</v>
          </cell>
          <cell r="F127">
            <v>650</v>
          </cell>
          <cell r="G127">
            <v>682.5</v>
          </cell>
        </row>
        <row r="128">
          <cell r="B128" t="str">
            <v>Network</v>
          </cell>
          <cell r="F128">
            <v>600</v>
          </cell>
          <cell r="G128">
            <v>630</v>
          </cell>
        </row>
        <row r="129">
          <cell r="B129" t="str">
            <v>Satellite</v>
          </cell>
          <cell r="F129">
            <v>1380</v>
          </cell>
          <cell r="G129">
            <v>1449</v>
          </cell>
        </row>
        <row r="131">
          <cell r="A131">
            <v>4450</v>
          </cell>
          <cell r="B131" t="str">
            <v>MAINTENANCE &amp; BUILDING REPAIRS</v>
          </cell>
          <cell r="F131">
            <v>28170</v>
          </cell>
          <cell r="G131">
            <v>29578.5</v>
          </cell>
        </row>
        <row r="132">
          <cell r="B132" t="str">
            <v>Grounds Services</v>
          </cell>
        </row>
        <row r="133">
          <cell r="B133" t="str">
            <v>    Landscaping</v>
          </cell>
          <cell r="F133">
            <v>2200</v>
          </cell>
          <cell r="G133">
            <v>2310</v>
          </cell>
        </row>
        <row r="134">
          <cell r="B134" t="str">
            <v>    Snow removal</v>
          </cell>
          <cell r="F134">
            <v>1500</v>
          </cell>
          <cell r="G134">
            <v>1575</v>
          </cell>
        </row>
        <row r="135">
          <cell r="B135" t="str">
            <v>    Pest control</v>
          </cell>
          <cell r="F135">
            <v>2040</v>
          </cell>
          <cell r="G135">
            <v>2142</v>
          </cell>
        </row>
        <row r="136">
          <cell r="B136" t="str">
            <v>    Sprinkler system</v>
          </cell>
          <cell r="F136">
            <v>400</v>
          </cell>
          <cell r="G136">
            <v>420</v>
          </cell>
        </row>
        <row r="137">
          <cell r="B137" t="str">
            <v>    Tree care</v>
          </cell>
          <cell r="F137">
            <v>200</v>
          </cell>
          <cell r="G137">
            <v>210</v>
          </cell>
        </row>
        <row r="139">
          <cell r="B139" t="str">
            <v>Equipment Services &amp; Repairs</v>
          </cell>
        </row>
        <row r="140">
          <cell r="B140" t="str">
            <v>    Ansul system</v>
          </cell>
          <cell r="F140">
            <v>260</v>
          </cell>
          <cell r="G140">
            <v>273</v>
          </cell>
        </row>
        <row r="141">
          <cell r="B141" t="str">
            <v>    Fire extinguishers</v>
          </cell>
          <cell r="F141">
            <v>800</v>
          </cell>
          <cell r="G141">
            <v>840</v>
          </cell>
        </row>
        <row r="142">
          <cell r="B142" t="str">
            <v>    Piano tuning</v>
          </cell>
          <cell r="F142">
            <v>350</v>
          </cell>
          <cell r="G142">
            <v>367.5</v>
          </cell>
        </row>
        <row r="143">
          <cell r="B143" t="str">
            <v>    HVAC</v>
          </cell>
          <cell r="F143">
            <v>9120</v>
          </cell>
          <cell r="G143">
            <v>9576</v>
          </cell>
        </row>
        <row r="144">
          <cell r="B144" t="str">
            <v>    Fire pump test</v>
          </cell>
          <cell r="F144">
            <v>600</v>
          </cell>
          <cell r="G144">
            <v>630</v>
          </cell>
        </row>
        <row r="145">
          <cell r="B145" t="str">
            <v>    Equipment repairs</v>
          </cell>
          <cell r="F145">
            <v>500</v>
          </cell>
          <cell r="G145">
            <v>525</v>
          </cell>
        </row>
        <row r="146">
          <cell r="B146" t="str">
            <v>    Kitchen equipment</v>
          </cell>
          <cell r="F146">
            <v>1000</v>
          </cell>
          <cell r="G146">
            <v>1050</v>
          </cell>
        </row>
        <row r="148">
          <cell r="B148" t="str">
            <v>Security</v>
          </cell>
          <cell r="F148">
            <v>600</v>
          </cell>
          <cell r="G148">
            <v>630</v>
          </cell>
        </row>
        <row r="149">
          <cell r="B149" t="str">
            <v>Grounds supplies </v>
          </cell>
          <cell r="F149">
            <v>2500</v>
          </cell>
          <cell r="G149">
            <v>2625</v>
          </cell>
        </row>
        <row r="150">
          <cell r="B150" t="str">
            <v>Bldg repairs</v>
          </cell>
          <cell r="F150">
            <v>5000</v>
          </cell>
          <cell r="G150">
            <v>5250</v>
          </cell>
        </row>
        <row r="151">
          <cell r="B151" t="str">
            <v>Equipment rental</v>
          </cell>
          <cell r="F151">
            <v>300</v>
          </cell>
          <cell r="G151">
            <v>315</v>
          </cell>
        </row>
        <row r="152">
          <cell r="B152" t="str">
            <v>Janitorial supplies</v>
          </cell>
          <cell r="F152">
            <v>800</v>
          </cell>
          <cell r="G152">
            <v>840</v>
          </cell>
        </row>
        <row r="154">
          <cell r="A154">
            <v>4550</v>
          </cell>
          <cell r="B154" t="str">
            <v>BINGO EXPENSES</v>
          </cell>
          <cell r="F154">
            <v>0</v>
          </cell>
          <cell r="G154">
            <v>0</v>
          </cell>
        </row>
        <row r="156">
          <cell r="A156">
            <v>4600</v>
          </cell>
          <cell r="B156" t="str">
            <v>INTEREST EXPENSE</v>
          </cell>
          <cell r="F156">
            <v>0</v>
          </cell>
          <cell r="G156">
            <v>0</v>
          </cell>
        </row>
        <row r="158">
          <cell r="A158">
            <v>4650</v>
          </cell>
          <cell r="B158" t="str">
            <v>ALTAR &amp; LITURGICAL SUPPLIES</v>
          </cell>
          <cell r="F158">
            <v>13900</v>
          </cell>
          <cell r="G158">
            <v>14595</v>
          </cell>
        </row>
        <row r="159">
          <cell r="B159" t="str">
            <v>Instrumental music books</v>
          </cell>
          <cell r="F159">
            <v>250</v>
          </cell>
          <cell r="G159">
            <v>262.5</v>
          </cell>
        </row>
        <row r="160">
          <cell r="B160" t="str">
            <v>Choir hymnals</v>
          </cell>
          <cell r="F160">
            <v>250</v>
          </cell>
          <cell r="G160">
            <v>262.5</v>
          </cell>
        </row>
        <row r="161">
          <cell r="B161" t="str">
            <v>Landscape piano book replacement</v>
          </cell>
          <cell r="F161">
            <v>100</v>
          </cell>
          <cell r="G161">
            <v>105</v>
          </cell>
        </row>
        <row r="162">
          <cell r="B162" t="str">
            <v>Children's Liturgy of the Word books and materials</v>
          </cell>
          <cell r="F162">
            <v>500</v>
          </cell>
          <cell r="G162">
            <v>525</v>
          </cell>
        </row>
        <row r="163">
          <cell r="B163" t="str">
            <v>Hosts/Wine</v>
          </cell>
          <cell r="F163">
            <v>3000</v>
          </cell>
          <cell r="G163">
            <v>3150</v>
          </cell>
        </row>
        <row r="164">
          <cell r="B164" t="str">
            <v>Candles</v>
          </cell>
          <cell r="F164">
            <v>3200</v>
          </cell>
          <cell r="G164">
            <v>3360</v>
          </cell>
        </row>
        <row r="165">
          <cell r="B165" t="str">
            <v>Missalettes</v>
          </cell>
          <cell r="F165">
            <v>800</v>
          </cell>
          <cell r="G165">
            <v>840</v>
          </cell>
        </row>
        <row r="166">
          <cell r="B166" t="str">
            <v>Liturgical books</v>
          </cell>
          <cell r="F166">
            <v>1000</v>
          </cell>
          <cell r="G166">
            <v>1050</v>
          </cell>
        </row>
        <row r="167">
          <cell r="B167" t="str">
            <v>Flowers</v>
          </cell>
          <cell r="F167">
            <v>2800</v>
          </cell>
          <cell r="G167">
            <v>2940</v>
          </cell>
        </row>
        <row r="168">
          <cell r="B168" t="str">
            <v>Other</v>
          </cell>
          <cell r="F168">
            <v>2000</v>
          </cell>
          <cell r="G168">
            <v>2100</v>
          </cell>
        </row>
        <row r="170">
          <cell r="A170">
            <v>4700</v>
          </cell>
          <cell r="B170" t="str">
            <v>FURNISHINGS/EQUIPMENT</v>
          </cell>
          <cell r="F170">
            <v>11830</v>
          </cell>
          <cell r="G170">
            <v>12421.5</v>
          </cell>
        </row>
        <row r="171">
          <cell r="B171" t="str">
            <v>Vacuum Cleaner x 2 (Rectory / Church)</v>
          </cell>
          <cell r="F171">
            <v>1000</v>
          </cell>
          <cell r="G171">
            <v>1050</v>
          </cell>
        </row>
        <row r="172">
          <cell r="B172" t="str">
            <v>Small Copier - Rectory Office</v>
          </cell>
          <cell r="F172">
            <v>1200</v>
          </cell>
          <cell r="G172">
            <v>1260</v>
          </cell>
        </row>
        <row r="173">
          <cell r="B173" t="str">
            <v>Printers - Potential replacements</v>
          </cell>
          <cell r="F173">
            <v>300</v>
          </cell>
          <cell r="G173">
            <v>315</v>
          </cell>
        </row>
        <row r="174">
          <cell r="B174" t="str">
            <v>Projection screen</v>
          </cell>
          <cell r="F174">
            <v>180</v>
          </cell>
          <cell r="G174">
            <v>189</v>
          </cell>
        </row>
        <row r="175">
          <cell r="B175" t="str">
            <v>LCD Projector</v>
          </cell>
          <cell r="F175">
            <v>1500</v>
          </cell>
          <cell r="G175">
            <v>1575</v>
          </cell>
        </row>
        <row r="176">
          <cell r="B176" t="str">
            <v>Filing Cabinets - 2</v>
          </cell>
          <cell r="F176">
            <v>300</v>
          </cell>
          <cell r="G176">
            <v>315</v>
          </cell>
        </row>
        <row r="177">
          <cell r="B177" t="str">
            <v>Office Chairs</v>
          </cell>
          <cell r="F177">
            <v>350</v>
          </cell>
          <cell r="G177">
            <v>367.5</v>
          </cell>
        </row>
        <row r="178">
          <cell r="B178" t="str">
            <v>Maintenance tools</v>
          </cell>
          <cell r="F178">
            <v>2500</v>
          </cell>
          <cell r="G178">
            <v>2625</v>
          </cell>
        </row>
        <row r="179">
          <cell r="B179" t="str">
            <v>Furniture - Gathering Space</v>
          </cell>
          <cell r="F179">
            <v>1500</v>
          </cell>
          <cell r="G179">
            <v>1575</v>
          </cell>
        </row>
        <row r="180">
          <cell r="B180" t="str">
            <v>Furniture - Rectory (Couch / Tables / Lamps / Wall Hangings)</v>
          </cell>
          <cell r="F180">
            <v>2000</v>
          </cell>
          <cell r="G180">
            <v>2100</v>
          </cell>
        </row>
        <row r="181">
          <cell r="B181" t="str">
            <v>Christmas decorations</v>
          </cell>
          <cell r="F181">
            <v>1000</v>
          </cell>
          <cell r="G181">
            <v>1050</v>
          </cell>
        </row>
        <row r="183">
          <cell r="A183">
            <v>4750</v>
          </cell>
          <cell r="B183" t="str">
            <v>ARCHDIOCESAN ASSESSMENT</v>
          </cell>
          <cell r="F183">
            <v>56100</v>
          </cell>
          <cell r="G183">
            <v>56100</v>
          </cell>
        </row>
        <row r="184">
          <cell r="B184" t="str">
            <v>10% of Operating Revenue</v>
          </cell>
          <cell r="F184">
            <v>56100</v>
          </cell>
          <cell r="G184">
            <v>56100</v>
          </cell>
        </row>
        <row r="186">
          <cell r="A186">
            <v>4760</v>
          </cell>
          <cell r="B186" t="str">
            <v>PRMAA ASSESSMENT</v>
          </cell>
          <cell r="F186">
            <v>19635</v>
          </cell>
          <cell r="G186">
            <v>20616.75</v>
          </cell>
        </row>
        <row r="187">
          <cell r="B187" t="str">
            <v>Priests Retirement and Mutual Aid Assoc</v>
          </cell>
          <cell r="F187">
            <v>19635</v>
          </cell>
          <cell r="G187">
            <v>20616.75</v>
          </cell>
        </row>
        <row r="189">
          <cell r="A189">
            <v>4780</v>
          </cell>
          <cell r="B189" t="str">
            <v>PROPERTY/CASUALTY INSURANCE </v>
          </cell>
          <cell r="F189">
            <v>22353</v>
          </cell>
          <cell r="G189">
            <v>23470.65</v>
          </cell>
        </row>
        <row r="191">
          <cell r="A191">
            <v>4790</v>
          </cell>
          <cell r="B191" t="str">
            <v>AUTO INSURANCE PRIEST OWNED VEHICLE</v>
          </cell>
          <cell r="F191">
            <v>1050</v>
          </cell>
          <cell r="G191">
            <v>1102.5</v>
          </cell>
        </row>
        <row r="193">
          <cell r="A193">
            <v>4800</v>
          </cell>
          <cell r="B193" t="str">
            <v>MISCELLANEOUS</v>
          </cell>
          <cell r="F193">
            <v>20380</v>
          </cell>
          <cell r="G193">
            <v>21399</v>
          </cell>
        </row>
        <row r="194">
          <cell r="B194" t="str">
            <v>Arch Sponsored conferences</v>
          </cell>
          <cell r="F194">
            <v>500</v>
          </cell>
          <cell r="G194">
            <v>525</v>
          </cell>
        </row>
        <row r="195">
          <cell r="B195" t="str">
            <v>Meetings and Speakers</v>
          </cell>
          <cell r="F195">
            <v>1500</v>
          </cell>
          <cell r="G195">
            <v>1575</v>
          </cell>
        </row>
        <row r="196">
          <cell r="B196" t="str">
            <v>Ministry Formation and Education</v>
          </cell>
          <cell r="F196">
            <v>2500</v>
          </cell>
          <cell r="G196">
            <v>2625</v>
          </cell>
        </row>
        <row r="197">
          <cell r="B197" t="str">
            <v>Hospitality and Entertainment</v>
          </cell>
        </row>
        <row r="198">
          <cell r="B198" t="str">
            <v>    Weekly Sunday (52 weeks x $40)</v>
          </cell>
          <cell r="F198">
            <v>2080</v>
          </cell>
          <cell r="G198">
            <v>2184</v>
          </cell>
        </row>
        <row r="199">
          <cell r="B199" t="str">
            <v>    New parishioner dinners (4 x $500)</v>
          </cell>
          <cell r="F199">
            <v>2000</v>
          </cell>
          <cell r="G199">
            <v>2100</v>
          </cell>
        </row>
        <row r="200">
          <cell r="B200" t="str">
            <v>    Christmas/Easter open house (2 x $500)</v>
          </cell>
          <cell r="F200">
            <v>1000</v>
          </cell>
          <cell r="G200">
            <v>1050</v>
          </cell>
        </row>
        <row r="201">
          <cell r="B201" t="str">
            <v>    First Comm/Confirmation receptions</v>
          </cell>
          <cell r="F201">
            <v>300</v>
          </cell>
          <cell r="G201">
            <v>315</v>
          </cell>
        </row>
        <row r="202">
          <cell r="B202" t="str">
            <v>    Other gatherings</v>
          </cell>
          <cell r="F202">
            <v>1500</v>
          </cell>
          <cell r="G202">
            <v>1575</v>
          </cell>
        </row>
        <row r="203">
          <cell r="B203" t="str">
            <v>Public relations / advertising</v>
          </cell>
        </row>
        <row r="204">
          <cell r="B204" t="str">
            <v>    Newspaper advertising</v>
          </cell>
          <cell r="F204">
            <v>1000</v>
          </cell>
          <cell r="G204">
            <v>1050</v>
          </cell>
        </row>
        <row r="205">
          <cell r="B205" t="str">
            <v>    Ads in program books</v>
          </cell>
          <cell r="F205">
            <v>1000</v>
          </cell>
          <cell r="G205">
            <v>1050</v>
          </cell>
        </row>
        <row r="206">
          <cell r="B206" t="str">
            <v>    Mother's Day</v>
          </cell>
          <cell r="F206">
            <v>300</v>
          </cell>
          <cell r="G206">
            <v>315</v>
          </cell>
        </row>
        <row r="207">
          <cell r="B207" t="str">
            <v>    Father's Day</v>
          </cell>
          <cell r="F207">
            <v>300</v>
          </cell>
          <cell r="G207">
            <v>315</v>
          </cell>
        </row>
        <row r="208">
          <cell r="B208" t="str">
            <v>    Feast day award</v>
          </cell>
          <cell r="F208">
            <v>100</v>
          </cell>
          <cell r="G208">
            <v>105</v>
          </cell>
        </row>
        <row r="209">
          <cell r="B209" t="str">
            <v>Gifts and Donations</v>
          </cell>
        </row>
        <row r="210">
          <cell r="B210" t="str">
            <v>     Thank you gifts (e.g. flowers); funeral sprays. </v>
          </cell>
          <cell r="F210">
            <v>1000</v>
          </cell>
          <cell r="G210">
            <v>1050</v>
          </cell>
        </row>
        <row r="211">
          <cell r="B211" t="str">
            <v>Dues and subscriptions</v>
          </cell>
          <cell r="F211">
            <v>500</v>
          </cell>
          <cell r="G211">
            <v>525</v>
          </cell>
        </row>
        <row r="212">
          <cell r="B212" t="str">
            <v>Rental Expense (Church of Our Saviour)</v>
          </cell>
          <cell r="F212">
            <v>4800</v>
          </cell>
          <cell r="G212">
            <v>5040</v>
          </cell>
        </row>
        <row r="214">
          <cell r="A214" t="str">
            <v>Total Operating Expense</v>
          </cell>
          <cell r="F214">
            <v>597414</v>
          </cell>
          <cell r="G214">
            <v>624479.7</v>
          </cell>
        </row>
        <row r="216">
          <cell r="A216" t="str">
            <v>Net Operating Profit</v>
          </cell>
          <cell r="F216">
            <v>1326</v>
          </cell>
          <cell r="G216">
            <v>-66974.09999999998</v>
          </cell>
        </row>
        <row r="218">
          <cell r="A218" t="str">
            <v>Extraordinary Revenues</v>
          </cell>
        </row>
        <row r="220">
          <cell r="A220">
            <v>5000</v>
          </cell>
          <cell r="B220" t="str">
            <v>INSURANCE RECOVERIES</v>
          </cell>
          <cell r="F220">
            <v>0</v>
          </cell>
          <cell r="G220">
            <v>0</v>
          </cell>
        </row>
        <row r="222">
          <cell r="A222">
            <v>5010</v>
          </cell>
          <cell r="B222" t="str">
            <v>SHARING COLLECTION FOR OTHER PARISHES</v>
          </cell>
          <cell r="F222">
            <v>10000</v>
          </cell>
          <cell r="G222">
            <v>9500</v>
          </cell>
        </row>
        <row r="224">
          <cell r="A224">
            <v>5020</v>
          </cell>
          <cell r="B224" t="str">
            <v>SHARING MONEY REC'D FROM OTHER PARISHES</v>
          </cell>
          <cell r="F224">
            <v>0</v>
          </cell>
          <cell r="G224">
            <v>0</v>
          </cell>
        </row>
        <row r="226">
          <cell r="A226">
            <v>5030</v>
          </cell>
          <cell r="B226" t="str">
            <v>ARCHDIOCESAN REQUIRED COLLECTIONS</v>
          </cell>
          <cell r="F226">
            <v>15000</v>
          </cell>
          <cell r="G226">
            <v>14250</v>
          </cell>
        </row>
        <row r="228">
          <cell r="A228">
            <v>5050</v>
          </cell>
          <cell r="B228" t="str">
            <v>ESTATES, BEQUESTS AND MEMORIALS</v>
          </cell>
          <cell r="F228">
            <v>2750</v>
          </cell>
          <cell r="G228">
            <v>2612.5</v>
          </cell>
        </row>
        <row r="229">
          <cell r="B229" t="str">
            <v>Memorial proceeds</v>
          </cell>
          <cell r="F229">
            <v>500</v>
          </cell>
          <cell r="G229">
            <v>475</v>
          </cell>
        </row>
        <row r="230">
          <cell r="B230" t="str">
            <v>Designated gifts</v>
          </cell>
        </row>
        <row r="231">
          <cell r="B231" t="str">
            <v>    Landscaping</v>
          </cell>
          <cell r="F231">
            <v>1500</v>
          </cell>
          <cell r="G231">
            <v>1425</v>
          </cell>
        </row>
        <row r="232">
          <cell r="B232" t="str">
            <v>    School Supply Drive</v>
          </cell>
          <cell r="F232">
            <v>250</v>
          </cell>
          <cell r="G232">
            <v>237.5</v>
          </cell>
        </row>
        <row r="233">
          <cell r="B233" t="str">
            <v>    Other</v>
          </cell>
          <cell r="F233">
            <v>500</v>
          </cell>
          <cell r="G233">
            <v>475</v>
          </cell>
        </row>
        <row r="235">
          <cell r="A235">
            <v>5111</v>
          </cell>
          <cell r="B235" t="str">
            <v>CHURCH MILLENNIUM CAMPAIGN FUNDS</v>
          </cell>
          <cell r="F235">
            <v>0</v>
          </cell>
          <cell r="G235">
            <v>0</v>
          </cell>
        </row>
        <row r="237">
          <cell r="A237">
            <v>5112</v>
          </cell>
          <cell r="B237" t="str">
            <v>PARISH  ENDOWMENT FUND COLLECTION</v>
          </cell>
          <cell r="F237">
            <v>0</v>
          </cell>
          <cell r="G237">
            <v>0</v>
          </cell>
        </row>
        <row r="239">
          <cell r="A239">
            <v>5113</v>
          </cell>
          <cell r="B239" t="str">
            <v>PARISH EDUCATIONAL ENDOWMENT FUND</v>
          </cell>
          <cell r="F239">
            <v>0</v>
          </cell>
          <cell r="G239">
            <v>0</v>
          </cell>
        </row>
        <row r="241">
          <cell r="A241">
            <v>5114</v>
          </cell>
          <cell r="B241" t="str">
            <v>ANNUAL APPEAL REBATE</v>
          </cell>
          <cell r="F241">
            <v>0</v>
          </cell>
          <cell r="G241">
            <v>0</v>
          </cell>
        </row>
        <row r="243">
          <cell r="A243">
            <v>5060</v>
          </cell>
          <cell r="B243" t="str">
            <v>OTHER EXTRAORDINARY INCOME</v>
          </cell>
          <cell r="F243">
            <v>5000</v>
          </cell>
          <cell r="G243">
            <v>4750</v>
          </cell>
        </row>
        <row r="244">
          <cell r="B244" t="str">
            <v>Sale of electronic organ</v>
          </cell>
          <cell r="F244">
            <v>5000</v>
          </cell>
          <cell r="G244">
            <v>4750</v>
          </cell>
        </row>
        <row r="246">
          <cell r="A246" t="str">
            <v>Total Extraordinary Operating Revenue</v>
          </cell>
          <cell r="F246">
            <v>32750</v>
          </cell>
          <cell r="G246">
            <v>31112.5</v>
          </cell>
        </row>
        <row r="248">
          <cell r="A248" t="str">
            <v>Extraordinary Expenses</v>
          </cell>
        </row>
        <row r="250">
          <cell r="A250">
            <v>6000</v>
          </cell>
          <cell r="B250" t="str">
            <v>EXPENSES COVERED BY INSURANCE</v>
          </cell>
          <cell r="F250">
            <v>0</v>
          </cell>
          <cell r="G250">
            <v>0</v>
          </cell>
        </row>
        <row r="252">
          <cell r="A252">
            <v>6010</v>
          </cell>
          <cell r="B252" t="str">
            <v>SHARING COLL. PAID TO OTHER PARISHES</v>
          </cell>
          <cell r="F252">
            <v>10000</v>
          </cell>
          <cell r="G252">
            <v>10500</v>
          </cell>
        </row>
        <row r="254">
          <cell r="A254">
            <v>6020</v>
          </cell>
          <cell r="B254" t="str">
            <v>SHARING FROM PARISH GENERAL FUNDS </v>
          </cell>
          <cell r="F254">
            <v>0</v>
          </cell>
          <cell r="G254">
            <v>0</v>
          </cell>
        </row>
        <row r="256">
          <cell r="A256">
            <v>6030</v>
          </cell>
          <cell r="B256" t="str">
            <v>PAYMENT OF ARCH. REQUIRED COLLECTIONS</v>
          </cell>
          <cell r="F256">
            <v>15000</v>
          </cell>
          <cell r="G256">
            <v>15750</v>
          </cell>
        </row>
        <row r="258">
          <cell r="A258">
            <v>6060</v>
          </cell>
          <cell r="B258" t="str">
            <v>OTHER (DESCRIBE)</v>
          </cell>
          <cell r="F258">
            <v>250</v>
          </cell>
          <cell r="G258">
            <v>262.5</v>
          </cell>
        </row>
        <row r="259">
          <cell r="B259" t="str">
            <v>   School Supply Drive</v>
          </cell>
          <cell r="F259">
            <v>250</v>
          </cell>
          <cell r="G259">
            <v>262.5</v>
          </cell>
        </row>
        <row r="261">
          <cell r="A261" t="str">
            <v>Total Extraordinary Operating Expense</v>
          </cell>
          <cell r="F261">
            <v>25250</v>
          </cell>
          <cell r="G261">
            <v>26512.5</v>
          </cell>
        </row>
        <row r="263">
          <cell r="A263" t="str">
            <v>Net Extraordinary Profit</v>
          </cell>
          <cell r="F263">
            <v>7500</v>
          </cell>
          <cell r="G263">
            <v>4600</v>
          </cell>
        </row>
        <row r="265">
          <cell r="A265" t="str">
            <v>Capital Revenues</v>
          </cell>
        </row>
        <row r="267">
          <cell r="A267">
            <v>5100</v>
          </cell>
          <cell r="B267" t="str">
            <v>SALE OF PROPERTY</v>
          </cell>
          <cell r="F267">
            <v>0</v>
          </cell>
        </row>
        <row r="268">
          <cell r="A268">
            <v>5120</v>
          </cell>
          <cell r="B268" t="str">
            <v>CAPITAL COLLECTIONS</v>
          </cell>
          <cell r="F268">
            <v>250000</v>
          </cell>
          <cell r="G268">
            <v>237500</v>
          </cell>
        </row>
        <row r="269">
          <cell r="B269" t="str">
            <v>    New Capital Initiative</v>
          </cell>
        </row>
        <row r="271">
          <cell r="A271" t="str">
            <v>Total Capital Revenues</v>
          </cell>
          <cell r="F271">
            <v>250000</v>
          </cell>
          <cell r="G271">
            <v>237500</v>
          </cell>
        </row>
        <row r="273">
          <cell r="A273" t="str">
            <v>Capital Expenditures</v>
          </cell>
        </row>
        <row r="274">
          <cell r="A274">
            <v>6100</v>
          </cell>
          <cell r="B274" t="str">
            <v>CAPITAL PURCHASE OR CONSTRUCTION</v>
          </cell>
        </row>
        <row r="276">
          <cell r="A276">
            <v>6110</v>
          </cell>
          <cell r="B276" t="str">
            <v>CAPITAL IMPROVEMENTS</v>
          </cell>
          <cell r="F276">
            <v>243500</v>
          </cell>
          <cell r="G276">
            <v>255675</v>
          </cell>
        </row>
        <row r="277">
          <cell r="B277" t="str">
            <v>Church - New Sound system</v>
          </cell>
          <cell r="F277">
            <v>15000</v>
          </cell>
          <cell r="G277">
            <v>15750</v>
          </cell>
        </row>
        <row r="278">
          <cell r="B278" t="str">
            <v>Church - Repair bells</v>
          </cell>
          <cell r="F278">
            <v>12000</v>
          </cell>
          <cell r="G278">
            <v>12600</v>
          </cell>
        </row>
        <row r="279">
          <cell r="B279" t="str">
            <v>Church - replace lighting (including sacristy)</v>
          </cell>
          <cell r="F279">
            <v>18000</v>
          </cell>
          <cell r="G279">
            <v>18900</v>
          </cell>
        </row>
        <row r="280">
          <cell r="B280" t="str">
            <v>Church - replace boiler burner</v>
          </cell>
          <cell r="F280">
            <v>4000</v>
          </cell>
          <cell r="G280">
            <v>4200</v>
          </cell>
        </row>
        <row r="281">
          <cell r="B281" t="str">
            <v>Church - replace air handler coils</v>
          </cell>
          <cell r="F281">
            <v>10000</v>
          </cell>
          <cell r="G281">
            <v>10500</v>
          </cell>
        </row>
        <row r="282">
          <cell r="B282" t="str">
            <v>Church - Outside sign</v>
          </cell>
          <cell r="F282">
            <v>5000</v>
          </cell>
          <cell r="G282">
            <v>5250</v>
          </cell>
        </row>
        <row r="283">
          <cell r="B283" t="str">
            <v>Parish Center -- replace carpet with tile</v>
          </cell>
          <cell r="F283">
            <v>15000</v>
          </cell>
          <cell r="G283">
            <v>15750</v>
          </cell>
        </row>
        <row r="284">
          <cell r="B284" t="str">
            <v>Rectory - rewire entire building</v>
          </cell>
          <cell r="F284">
            <v>35500</v>
          </cell>
          <cell r="G284">
            <v>37275</v>
          </cell>
        </row>
        <row r="285">
          <cell r="B285" t="str">
            <v>Rectory - replace windows</v>
          </cell>
          <cell r="F285">
            <v>53000</v>
          </cell>
          <cell r="G285">
            <v>55650</v>
          </cell>
        </row>
        <row r="286">
          <cell r="B286" t="str">
            <v>Old School Building - shuht down boiler</v>
          </cell>
          <cell r="F286">
            <v>1000</v>
          </cell>
          <cell r="G286">
            <v>1050</v>
          </cell>
        </row>
        <row r="287">
          <cell r="B287" t="str">
            <v>Card. Bernardin School - build boiler room / boiler</v>
          </cell>
          <cell r="F287">
            <v>75000</v>
          </cell>
          <cell r="G287">
            <v>78750</v>
          </cell>
        </row>
        <row r="289">
          <cell r="A289" t="str">
            <v>Total Capital Expenditures</v>
          </cell>
          <cell r="F289">
            <v>243500</v>
          </cell>
          <cell r="G289">
            <v>255675</v>
          </cell>
        </row>
        <row r="291">
          <cell r="A291" t="str">
            <v>Net Capital Profit</v>
          </cell>
          <cell r="F291">
            <v>6500</v>
          </cell>
          <cell r="G291">
            <v>-18175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-1 Page 1"/>
      <sheetName val="A-1A Page 2"/>
      <sheetName val="Other R&amp;E Page 3"/>
      <sheetName val="B-1 Page 4"/>
      <sheetName val="Other R&amp;E Page 5"/>
      <sheetName val="C-1 Page 6"/>
      <sheetName val="C-2 Page 7"/>
      <sheetName val="D-1 Page 8"/>
      <sheetName val="Sharing Page 9"/>
      <sheetName val="Catechesis Page 10"/>
      <sheetName val="School Page 11"/>
      <sheetName val="Allocation Page 12"/>
      <sheetName val="Pledges Page 13"/>
      <sheetName val="Status Animaru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ital Statement"/>
      <sheetName val="Income Statement"/>
      <sheetName val="Summary"/>
      <sheetName val="2009 Actual"/>
      <sheetName val="2010 Budget"/>
    </sheetNames>
    <sheetDataSet>
      <sheetData sheetId="2">
        <row r="20">
          <cell r="J20">
            <v>631943.54</v>
          </cell>
          <cell r="M20">
            <v>644840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N37"/>
  <sheetViews>
    <sheetView tabSelected="1" view="pageBreakPreview" zoomScale="60" zoomScalePageLayoutView="0" workbookViewId="0" topLeftCell="A1">
      <selection activeCell="C25" sqref="C25"/>
    </sheetView>
  </sheetViews>
  <sheetFormatPr defaultColWidth="9.140625" defaultRowHeight="12.75"/>
  <cols>
    <col min="1" max="1" width="48.140625" style="166" bestFit="1" customWidth="1"/>
    <col min="2" max="2" width="14.00390625" style="226" bestFit="1" customWidth="1"/>
    <col min="3" max="3" width="14.421875" style="226" bestFit="1" customWidth="1"/>
    <col min="4" max="4" width="11.421875" style="225" bestFit="1" customWidth="1"/>
    <col min="5" max="5" width="2.7109375" style="226" customWidth="1"/>
    <col min="6" max="6" width="13.7109375" style="226" bestFit="1" customWidth="1"/>
    <col min="7" max="7" width="14.00390625" style="226" bestFit="1" customWidth="1"/>
    <col min="8" max="8" width="11.421875" style="227" bestFit="1" customWidth="1"/>
    <col min="9" max="9" width="2.7109375" style="226" customWidth="1"/>
    <col min="10" max="10" width="13.7109375" style="226" bestFit="1" customWidth="1"/>
    <col min="11" max="11" width="14.00390625" style="226" bestFit="1" customWidth="1"/>
    <col min="12" max="12" width="11.28125" style="227" bestFit="1" customWidth="1"/>
    <col min="13" max="13" width="3.421875" style="166" customWidth="1"/>
    <col min="14" max="14" width="47.421875" style="166" bestFit="1" customWidth="1"/>
    <col min="15" max="16384" width="9.140625" style="166" customWidth="1"/>
  </cols>
  <sheetData>
    <row r="1" spans="1:13" s="22" customFormat="1" ht="12.75">
      <c r="A1" s="171" t="s">
        <v>144</v>
      </c>
      <c r="B1" s="172"/>
      <c r="M1" s="162"/>
    </row>
    <row r="2" spans="1:11" ht="12.75">
      <c r="A2" s="167" t="s">
        <v>141</v>
      </c>
      <c r="B2" s="224">
        <v>4</v>
      </c>
      <c r="C2" s="166"/>
      <c r="G2" s="226" t="s">
        <v>54</v>
      </c>
      <c r="K2" s="226" t="s">
        <v>54</v>
      </c>
    </row>
    <row r="3" spans="1:3" ht="12.75">
      <c r="A3" s="167" t="s">
        <v>253</v>
      </c>
      <c r="B3" s="224">
        <v>500</v>
      </c>
      <c r="C3" s="166"/>
    </row>
    <row r="4" ht="12.75">
      <c r="B4" s="228"/>
    </row>
    <row r="5" spans="1:14" s="22" customFormat="1" ht="12.75">
      <c r="A5" s="175" t="s">
        <v>153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62"/>
      <c r="N5" s="162"/>
    </row>
    <row r="6" spans="2:14" s="169" customFormat="1" ht="25.5">
      <c r="B6" s="229" t="s">
        <v>127</v>
      </c>
      <c r="C6" s="229" t="s">
        <v>124</v>
      </c>
      <c r="D6" s="230" t="s">
        <v>139</v>
      </c>
      <c r="E6" s="231"/>
      <c r="F6" s="229" t="s">
        <v>140</v>
      </c>
      <c r="G6" s="229" t="s">
        <v>142</v>
      </c>
      <c r="H6" s="232" t="s">
        <v>139</v>
      </c>
      <c r="I6" s="231"/>
      <c r="J6" s="229" t="s">
        <v>143</v>
      </c>
      <c r="K6" s="229" t="s">
        <v>155</v>
      </c>
      <c r="L6" s="232" t="s">
        <v>139</v>
      </c>
      <c r="N6" s="168" t="s">
        <v>158</v>
      </c>
    </row>
    <row r="7" ht="12.75">
      <c r="A7" s="168" t="s">
        <v>122</v>
      </c>
    </row>
    <row r="8" spans="1:14" ht="12.75">
      <c r="A8" s="233" t="s">
        <v>15</v>
      </c>
      <c r="B8" s="226">
        <f>+Summary!J5</f>
        <v>431672</v>
      </c>
      <c r="C8" s="226">
        <f>+Summary!M5</f>
        <v>472000</v>
      </c>
      <c r="D8" s="225">
        <f>(C8-B8)/B8</f>
        <v>0.09342278396560351</v>
      </c>
      <c r="F8" s="226">
        <f>C8*($B$2/12)</f>
        <v>157333.3333333333</v>
      </c>
      <c r="G8" s="219">
        <v>142978</v>
      </c>
      <c r="H8" s="227">
        <f>(G8-F8)/F8</f>
        <v>-0.0912415254237287</v>
      </c>
      <c r="J8" s="219">
        <v>135066</v>
      </c>
      <c r="K8" s="219">
        <v>142978</v>
      </c>
      <c r="L8" s="227">
        <f>(K8-J8)/J8</f>
        <v>0.0585787688981683</v>
      </c>
      <c r="N8" s="234">
        <v>3000</v>
      </c>
    </row>
    <row r="9" spans="1:14" ht="12.75">
      <c r="A9" s="233" t="s">
        <v>130</v>
      </c>
      <c r="B9" s="226">
        <f>+Summary!J6+Summary!J7</f>
        <v>70781</v>
      </c>
      <c r="C9" s="226">
        <f>+Summary!M6+Summary!M7</f>
        <v>63000</v>
      </c>
      <c r="D9" s="225">
        <f>(C9-B9)/B9</f>
        <v>-0.10993063110156681</v>
      </c>
      <c r="F9" s="219">
        <f>C9*($B$2/12)</f>
        <v>21000</v>
      </c>
      <c r="G9" s="219">
        <v>2978</v>
      </c>
      <c r="H9" s="227">
        <f>(G9-F9)/F9</f>
        <v>-0.8581904761904762</v>
      </c>
      <c r="J9" s="219">
        <v>3120</v>
      </c>
      <c r="K9" s="219">
        <v>2978</v>
      </c>
      <c r="L9" s="227">
        <f>(K9-J9)/J9</f>
        <v>-0.04551282051282051</v>
      </c>
      <c r="N9" s="234" t="s">
        <v>162</v>
      </c>
    </row>
    <row r="10" spans="1:14" ht="12.75">
      <c r="A10" s="233" t="s">
        <v>131</v>
      </c>
      <c r="B10" s="226">
        <f>+Summary!J14</f>
        <v>66744</v>
      </c>
      <c r="C10" s="226">
        <f>+Summary!M14</f>
        <v>63900</v>
      </c>
      <c r="D10" s="225">
        <f>(C10-B10)/B10</f>
        <v>-0.04261057173678533</v>
      </c>
      <c r="F10" s="219">
        <f>C10*($B$2/12)</f>
        <v>21300</v>
      </c>
      <c r="G10" s="219">
        <v>21569</v>
      </c>
      <c r="H10" s="227">
        <f>(G10-F10)/F10</f>
        <v>0.012629107981220657</v>
      </c>
      <c r="J10" s="219">
        <v>62040</v>
      </c>
      <c r="K10" s="219">
        <v>21569</v>
      </c>
      <c r="L10" s="227">
        <f>(K10-J10)/J10</f>
        <v>-0.6523372018052869</v>
      </c>
      <c r="N10" s="37">
        <v>3450</v>
      </c>
    </row>
    <row r="11" spans="1:14" ht="12.75">
      <c r="A11" s="233" t="s">
        <v>132</v>
      </c>
      <c r="B11" s="226">
        <f>+B12-B8-B9-B10</f>
        <v>62746.54000000004</v>
      </c>
      <c r="C11" s="226">
        <f>+C12-C8-C9-C10</f>
        <v>45940</v>
      </c>
      <c r="D11" s="225">
        <f>(C11-B11)/B11</f>
        <v>-0.26784807576640923</v>
      </c>
      <c r="F11" s="226">
        <f>C11*($B$2/12)</f>
        <v>15313.333333333332</v>
      </c>
      <c r="G11" s="219">
        <v>22418</v>
      </c>
      <c r="H11" s="227">
        <f>(G11-F11)/F11</f>
        <v>0.46395298215063135</v>
      </c>
      <c r="J11" s="219">
        <v>16277</v>
      </c>
      <c r="K11" s="219">
        <v>22418</v>
      </c>
      <c r="L11" s="227">
        <f>(K11-J11)/J11</f>
        <v>0.3772808257049825</v>
      </c>
      <c r="N11" s="180" t="s">
        <v>163</v>
      </c>
    </row>
    <row r="12" spans="1:14" s="167" customFormat="1" ht="13.5" thickBot="1">
      <c r="A12" s="170" t="s">
        <v>28</v>
      </c>
      <c r="B12" s="235">
        <f>+'[3]Summary'!J20</f>
        <v>631943.54</v>
      </c>
      <c r="C12" s="235">
        <f>+'[3]Summary'!M20</f>
        <v>644840</v>
      </c>
      <c r="D12" s="236">
        <f>(C12-B12)/B12</f>
        <v>0.020407614262501934</v>
      </c>
      <c r="E12" s="235"/>
      <c r="F12" s="235">
        <f>SUM(F8:F11)</f>
        <v>214946.66666666666</v>
      </c>
      <c r="G12" s="235">
        <v>189943</v>
      </c>
      <c r="H12" s="237">
        <f>(G12-F12)/F12</f>
        <v>-0.11632497983996026</v>
      </c>
      <c r="I12" s="235"/>
      <c r="J12" s="235">
        <v>216503</v>
      </c>
      <c r="K12" s="235">
        <v>189943</v>
      </c>
      <c r="L12" s="237">
        <f>(K12-J12)/J12</f>
        <v>-0.12267728391754387</v>
      </c>
      <c r="N12" s="238"/>
    </row>
    <row r="13" spans="4:14" ht="13.5" thickTop="1">
      <c r="D13" s="225" t="s">
        <v>54</v>
      </c>
      <c r="F13" s="226" t="s">
        <v>54</v>
      </c>
      <c r="J13" s="226" t="s">
        <v>54</v>
      </c>
      <c r="N13" s="238"/>
    </row>
    <row r="14" spans="1:14" ht="12.75">
      <c r="A14" s="164" t="s">
        <v>156</v>
      </c>
      <c r="D14" s="225" t="s">
        <v>54</v>
      </c>
      <c r="F14" s="226" t="s">
        <v>54</v>
      </c>
      <c r="J14" s="226" t="s">
        <v>54</v>
      </c>
      <c r="N14" s="238"/>
    </row>
    <row r="15" spans="1:14" ht="12.75">
      <c r="A15" s="166" t="s">
        <v>133</v>
      </c>
      <c r="B15" s="226">
        <f>SUM(Summary!J24:Summary!J27)+Summary!J32</f>
        <v>360608</v>
      </c>
      <c r="C15" s="226">
        <f>SUM(Summary!M24:Summary!M27)+Summary!M32</f>
        <v>355548.4385</v>
      </c>
      <c r="D15" s="225">
        <f>(C15-B15)/B15</f>
        <v>-0.014030641305794688</v>
      </c>
      <c r="F15" s="226">
        <f>C15*($B$2/12)</f>
        <v>118516.14616666666</v>
      </c>
      <c r="G15" s="219">
        <v>107903</v>
      </c>
      <c r="H15" s="227">
        <f>(G15-F15)/F15</f>
        <v>-0.08955021328268321</v>
      </c>
      <c r="J15" s="219">
        <v>123957</v>
      </c>
      <c r="K15" s="219">
        <v>107903</v>
      </c>
      <c r="L15" s="227">
        <f>(K15-J15)/J15</f>
        <v>-0.1295126535814839</v>
      </c>
      <c r="N15" s="234" t="s">
        <v>164</v>
      </c>
    </row>
    <row r="16" spans="1:14" ht="12.75">
      <c r="A16" s="166" t="s">
        <v>134</v>
      </c>
      <c r="B16" s="226">
        <f>SUM(Summary!J42:Summary!J45)</f>
        <v>91729</v>
      </c>
      <c r="C16" s="226">
        <f>SUM(Summary!M42:Summary!M45)</f>
        <v>107046</v>
      </c>
      <c r="D16" s="225">
        <f>(C16-B16)/B16</f>
        <v>0.16698099837565</v>
      </c>
      <c r="F16" s="226">
        <f>C16*($B$2/12)</f>
        <v>35682</v>
      </c>
      <c r="G16" s="219">
        <v>19090</v>
      </c>
      <c r="H16" s="227">
        <f>(G16-F16)/F16</f>
        <v>-0.46499635670646267</v>
      </c>
      <c r="J16" s="219">
        <v>25701</v>
      </c>
      <c r="K16" s="219">
        <v>19090</v>
      </c>
      <c r="L16" s="227">
        <f>(K16-J16)/J16</f>
        <v>-0.2572273452394849</v>
      </c>
      <c r="N16" s="37" t="s">
        <v>165</v>
      </c>
    </row>
    <row r="17" spans="1:14" ht="12.75">
      <c r="A17" s="166" t="s">
        <v>157</v>
      </c>
      <c r="B17" s="226">
        <f>SUM(Summary!J33:Summary!J36)</f>
        <v>51129</v>
      </c>
      <c r="C17" s="226">
        <f>SUM(Summary!M33:Summary!M36)</f>
        <v>67430</v>
      </c>
      <c r="D17" s="225">
        <f>(C17-B17)/B17</f>
        <v>0.3188210213381838</v>
      </c>
      <c r="F17" s="226">
        <f>C17*($B$2/12)</f>
        <v>22476.666666666664</v>
      </c>
      <c r="G17" s="219">
        <v>16778</v>
      </c>
      <c r="H17" s="227">
        <f>(G17-F17)/F17</f>
        <v>-0.2535370013347174</v>
      </c>
      <c r="J17" s="219">
        <v>13282</v>
      </c>
      <c r="K17" s="219">
        <v>16778</v>
      </c>
      <c r="L17" s="227">
        <f>(K17-J17)/J17</f>
        <v>0.26321337148019874</v>
      </c>
      <c r="N17" s="37" t="s">
        <v>166</v>
      </c>
    </row>
    <row r="18" spans="1:14" ht="12.75">
      <c r="A18" s="166" t="s">
        <v>132</v>
      </c>
      <c r="B18" s="226">
        <f>+B19-B15-B16-B17</f>
        <v>136565</v>
      </c>
      <c r="C18" s="226">
        <f>+C19-C15-C16-C17</f>
        <v>109769.99999999994</v>
      </c>
      <c r="D18" s="225">
        <f>(C18-B18)/B18</f>
        <v>-0.19620693442683015</v>
      </c>
      <c r="F18" s="226">
        <f>C18*($B$2/12)</f>
        <v>36589.99999999998</v>
      </c>
      <c r="G18" s="219">
        <v>24424</v>
      </c>
      <c r="H18" s="227">
        <f>(G18-F18)/F18</f>
        <v>-0.33249521727247844</v>
      </c>
      <c r="J18" s="219">
        <v>45444</v>
      </c>
      <c r="K18" s="219">
        <v>24424</v>
      </c>
      <c r="L18" s="227">
        <f>(K18-J18)/J18</f>
        <v>-0.4625473109761465</v>
      </c>
      <c r="N18" s="37" t="s">
        <v>167</v>
      </c>
    </row>
    <row r="19" spans="1:14" s="167" customFormat="1" ht="12.75">
      <c r="A19" s="170" t="s">
        <v>55</v>
      </c>
      <c r="B19" s="235">
        <f>+Summary!J48</f>
        <v>640031</v>
      </c>
      <c r="C19" s="235">
        <f>+Summary!M48</f>
        <v>639794.4384999999</v>
      </c>
      <c r="D19" s="236">
        <f>(C19-B19)/B19</f>
        <v>-0.00036960944079281926</v>
      </c>
      <c r="E19" s="235"/>
      <c r="F19" s="235">
        <f>SUM(F15:F18)</f>
        <v>213264.81283333327</v>
      </c>
      <c r="G19" s="235">
        <f>SUM(G15:G18)</f>
        <v>168195</v>
      </c>
      <c r="H19" s="239">
        <f>(G19-F19)/F19</f>
        <v>-0.2113326255492292</v>
      </c>
      <c r="I19" s="235"/>
      <c r="J19" s="235">
        <f>SUM(J15:J18)</f>
        <v>208384</v>
      </c>
      <c r="K19" s="235">
        <f>SUM(K15:K18)</f>
        <v>168195</v>
      </c>
      <c r="L19" s="239">
        <f>(K19-J19)/J19</f>
        <v>-0.19286029637592136</v>
      </c>
      <c r="N19" s="41"/>
    </row>
    <row r="20" ht="12.75">
      <c r="N20" s="41"/>
    </row>
    <row r="21" spans="1:14" ht="13.5" thickBot="1">
      <c r="A21" s="165" t="s">
        <v>121</v>
      </c>
      <c r="B21" s="240">
        <f>+B12-B19</f>
        <v>-8087.459999999963</v>
      </c>
      <c r="C21" s="240">
        <f>+C12-C19</f>
        <v>5045.561500000069</v>
      </c>
      <c r="D21" s="241"/>
      <c r="E21" s="240"/>
      <c r="F21" s="240">
        <f>+F12-F19</f>
        <v>1681.8538333333854</v>
      </c>
      <c r="G21" s="240">
        <f>+G12-G19</f>
        <v>21748</v>
      </c>
      <c r="H21" s="242"/>
      <c r="I21" s="240"/>
      <c r="J21" s="240">
        <f>+J12-J19</f>
        <v>8119</v>
      </c>
      <c r="K21" s="240">
        <f>+K12-K19</f>
        <v>21748</v>
      </c>
      <c r="L21" s="242"/>
      <c r="N21" s="41"/>
    </row>
    <row r="22" ht="13.5" thickTop="1">
      <c r="N22" s="41"/>
    </row>
    <row r="23" ht="12.75">
      <c r="N23" s="41"/>
    </row>
    <row r="24" spans="1:14" s="167" customFormat="1" ht="12.75">
      <c r="A24" s="167" t="s">
        <v>257</v>
      </c>
      <c r="B24" s="243"/>
      <c r="C24" s="243"/>
      <c r="D24" s="244"/>
      <c r="E24" s="243"/>
      <c r="F24" s="243"/>
      <c r="G24" s="243"/>
      <c r="H24" s="245"/>
      <c r="I24" s="243"/>
      <c r="J24" s="243"/>
      <c r="K24" s="243"/>
      <c r="L24" s="245"/>
      <c r="N24" s="246"/>
    </row>
    <row r="25" spans="1:14" ht="12.75">
      <c r="A25" s="247" t="s">
        <v>256</v>
      </c>
      <c r="B25" s="226">
        <f>B8/52</f>
        <v>8301.384615384615</v>
      </c>
      <c r="C25" s="226">
        <f>C8/52</f>
        <v>9076.923076923076</v>
      </c>
      <c r="F25" s="226">
        <f>F8/((DATE(2009,7+$B$2,1)-DATE(2009,7,1))/7)</f>
        <v>8953.929539295392</v>
      </c>
      <c r="G25" s="226">
        <f>G8/((DATE(2009,7+$B$2,1)-DATE(2009,7,1))/7)</f>
        <v>8136.959349593495</v>
      </c>
      <c r="J25" s="226">
        <f>J8/((DATE(2009,7+$B$2,1)-DATE(2009,7,1))/7)</f>
        <v>7686.682926829268</v>
      </c>
      <c r="K25" s="226">
        <f>K8/((DATE(2009,7+$B$2,1)-DATE(2009,7,1))/7)</f>
        <v>8136.959349593495</v>
      </c>
      <c r="N25" s="47"/>
    </row>
    <row r="26" spans="1:14" ht="12.75">
      <c r="A26" s="247" t="s">
        <v>254</v>
      </c>
      <c r="B26" s="226">
        <f>B25/$B$3</f>
        <v>16.60276923076923</v>
      </c>
      <c r="C26" s="226">
        <f>C25/$B$3</f>
        <v>18.153846153846153</v>
      </c>
      <c r="F26" s="226">
        <f>F25/$B$3</f>
        <v>17.907859078590782</v>
      </c>
      <c r="G26" s="226">
        <f>G25/$B$3</f>
        <v>16.27391869918699</v>
      </c>
      <c r="J26" s="226">
        <f>J25/$B$3</f>
        <v>15.373365853658536</v>
      </c>
      <c r="K26" s="226">
        <f>K25/$B$3</f>
        <v>16.27391869918699</v>
      </c>
      <c r="N26" s="47"/>
    </row>
    <row r="27" spans="1:14" ht="12.75">
      <c r="A27" s="247"/>
      <c r="N27" s="47"/>
    </row>
    <row r="28" spans="1:14" ht="12.75">
      <c r="A28" s="166" t="s">
        <v>258</v>
      </c>
      <c r="B28" s="226">
        <f>B19/52</f>
        <v>12308.288461538461</v>
      </c>
      <c r="C28" s="226">
        <f>C19/52</f>
        <v>12303.739201923076</v>
      </c>
      <c r="F28" s="226">
        <f>F19/((DATE(2009,7+$B$2,1)-DATE(2009,7,1))/7)</f>
        <v>12137.021868563681</v>
      </c>
      <c r="G28" s="226">
        <f>G19/((DATE(2009,7+$B$2,1)-DATE(2009,7,1))/7)</f>
        <v>9572.073170731706</v>
      </c>
      <c r="J28" s="226">
        <f>J19/((DATE(2009,7+$B$2,1)-DATE(2009,7,1))/7)</f>
        <v>11859.252032520324</v>
      </c>
      <c r="K28" s="226">
        <f>K19/((DATE(2009,7+$B$2,1)-DATE(2009,7,1))/7)</f>
        <v>9572.073170731706</v>
      </c>
      <c r="N28" s="41"/>
    </row>
    <row r="29" spans="1:14" ht="12.75">
      <c r="A29" s="166" t="s">
        <v>255</v>
      </c>
      <c r="B29" s="226">
        <f>B28/$B$3</f>
        <v>24.616576923076924</v>
      </c>
      <c r="C29" s="226">
        <f>C28/$B$3</f>
        <v>24.60747840384615</v>
      </c>
      <c r="F29" s="226">
        <f>F28/$B$3</f>
        <v>24.27404373712736</v>
      </c>
      <c r="G29" s="226">
        <f>G28/$B$3</f>
        <v>19.14414634146341</v>
      </c>
      <c r="J29" s="226">
        <f>J28/$B$3</f>
        <v>23.718504065040648</v>
      </c>
      <c r="K29" s="226">
        <f>K28/$B$3</f>
        <v>19.14414634146341</v>
      </c>
      <c r="N29" s="41"/>
    </row>
    <row r="30" ht="12.75">
      <c r="N30" s="41"/>
    </row>
    <row r="31" ht="12.75">
      <c r="N31" s="41"/>
    </row>
    <row r="32" ht="12.75">
      <c r="N32" s="41"/>
    </row>
    <row r="33" ht="12.75">
      <c r="N33" s="41"/>
    </row>
    <row r="34" ht="12.75">
      <c r="N34" s="41"/>
    </row>
    <row r="35" ht="12.75">
      <c r="N35" s="41"/>
    </row>
    <row r="36" ht="12.75">
      <c r="N36" s="41"/>
    </row>
    <row r="37" ht="12.75">
      <c r="N37" s="41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19"/>
  <sheetViews>
    <sheetView view="pageBreakPreview" zoomScale="60" zoomScalePageLayoutView="0" workbookViewId="0" topLeftCell="A1">
      <selection activeCell="C13" sqref="C13"/>
    </sheetView>
  </sheetViews>
  <sheetFormatPr defaultColWidth="9.140625" defaultRowHeight="12.75"/>
  <cols>
    <col min="1" max="1" width="43.7109375" style="22" bestFit="1" customWidth="1"/>
    <col min="2" max="2" width="11.8515625" style="22" bestFit="1" customWidth="1"/>
    <col min="3" max="3" width="25.57421875" style="22" customWidth="1"/>
    <col min="4" max="16384" width="9.140625" style="22" customWidth="1"/>
  </cols>
  <sheetData>
    <row r="1" spans="1:2" ht="12.75">
      <c r="A1" s="171" t="s">
        <v>144</v>
      </c>
      <c r="B1" s="172"/>
    </row>
    <row r="2" spans="1:2" ht="12.75">
      <c r="A2" s="39" t="s">
        <v>146</v>
      </c>
      <c r="B2" s="179">
        <v>40087</v>
      </c>
    </row>
    <row r="3" spans="1:2" ht="12.75">
      <c r="A3" s="39" t="s">
        <v>147</v>
      </c>
      <c r="B3" s="179">
        <v>40117</v>
      </c>
    </row>
    <row r="5" spans="1:3" ht="12.75">
      <c r="A5" s="175" t="s">
        <v>215</v>
      </c>
      <c r="B5" s="176"/>
      <c r="C5" s="176"/>
    </row>
    <row r="6" spans="2:3" ht="12.75">
      <c r="B6" s="174" t="s">
        <v>149</v>
      </c>
      <c r="C6" s="174" t="s">
        <v>150</v>
      </c>
    </row>
    <row r="7" spans="1:2" ht="12.75">
      <c r="A7" s="39" t="s">
        <v>216</v>
      </c>
      <c r="B7" s="137"/>
    </row>
    <row r="8" spans="1:2" ht="12.75">
      <c r="A8" s="22" t="str">
        <f>CONCATENATE("Operating Account Balance (",TEXT(B2,"mmm dd, yyyy"),")")</f>
        <v>Operating Account Balance (Oct 01, 2009)</v>
      </c>
      <c r="B8" s="220">
        <v>50884</v>
      </c>
    </row>
    <row r="9" spans="1:2" ht="12.75">
      <c r="A9" s="22" t="s">
        <v>159</v>
      </c>
      <c r="B9" s="220">
        <v>58670</v>
      </c>
    </row>
    <row r="10" spans="1:2" ht="12.75">
      <c r="A10" s="22" t="s">
        <v>154</v>
      </c>
      <c r="B10" s="220">
        <v>65586</v>
      </c>
    </row>
    <row r="11" spans="1:2" ht="12.75">
      <c r="A11" s="177" t="str">
        <f>CONCATENATE("Operating Account Balance (",TEXT(B3,"mmm dd, yyyy"),")")</f>
        <v>Operating Account Balance (Oct 31, 2009)</v>
      </c>
      <c r="B11" s="178">
        <f>B8+B9-B10</f>
        <v>43968</v>
      </c>
    </row>
    <row r="12" spans="1:2" s="162" customFormat="1" ht="12.75">
      <c r="A12" s="163"/>
      <c r="B12" s="137"/>
    </row>
    <row r="13" spans="1:2" ht="12.75">
      <c r="A13" s="39" t="s">
        <v>145</v>
      </c>
      <c r="B13" s="137"/>
    </row>
    <row r="14" spans="1:2" ht="12.75">
      <c r="A14" s="22" t="str">
        <f>CONCATENATE("Operating Account Balance (",TEXT(B3,"mmm dd, yyyy"),")")</f>
        <v>Operating Account Balance (Oct 31, 2009)</v>
      </c>
      <c r="B14" s="220">
        <v>43968</v>
      </c>
    </row>
    <row r="15" spans="1:2" ht="12.75">
      <c r="A15" s="22" t="s">
        <v>217</v>
      </c>
      <c r="B15" s="222"/>
    </row>
    <row r="16" spans="1:3" ht="12.75">
      <c r="A16" s="173" t="s">
        <v>137</v>
      </c>
      <c r="B16" s="220"/>
      <c r="C16" s="22" t="s">
        <v>151</v>
      </c>
    </row>
    <row r="17" spans="1:3" ht="12.75">
      <c r="A17" s="173" t="s">
        <v>138</v>
      </c>
      <c r="B17" s="220">
        <v>13250</v>
      </c>
      <c r="C17" s="22" t="s">
        <v>259</v>
      </c>
    </row>
    <row r="18" spans="1:3" ht="12.75">
      <c r="A18" s="173" t="s">
        <v>160</v>
      </c>
      <c r="B18" s="220">
        <v>0</v>
      </c>
      <c r="C18" s="22" t="s">
        <v>218</v>
      </c>
    </row>
    <row r="19" spans="1:2" ht="12.75">
      <c r="A19" s="177" t="s">
        <v>219</v>
      </c>
      <c r="B19" s="178">
        <f>B14-B16-B17-B18</f>
        <v>30718</v>
      </c>
    </row>
    <row r="24" s="39" customFormat="1" ht="12.75"/>
    <row r="25" s="24" customFormat="1" ht="12.75"/>
    <row r="26" s="24" customFormat="1" ht="12.75"/>
    <row r="27" s="24" customFormat="1" ht="12.75"/>
  </sheetData>
  <sheetProtection/>
  <printOptions/>
  <pageMargins left="0.75" right="0.75" top="1" bottom="1" header="0.5" footer="0.5"/>
  <pageSetup fitToHeight="1" fitToWidth="1"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19"/>
  <sheetViews>
    <sheetView view="pageBreakPreview" zoomScale="60" zoomScalePageLayoutView="0" workbookViewId="0" topLeftCell="A1">
      <selection activeCell="A28" sqref="A28"/>
    </sheetView>
  </sheetViews>
  <sheetFormatPr defaultColWidth="9.140625" defaultRowHeight="12.75"/>
  <cols>
    <col min="1" max="1" width="43.7109375" style="22" bestFit="1" customWidth="1"/>
    <col min="2" max="2" width="11.28125" style="22" bestFit="1" customWidth="1"/>
    <col min="3" max="3" width="52.7109375" style="22" bestFit="1" customWidth="1"/>
    <col min="4" max="16384" width="9.140625" style="22" customWidth="1"/>
  </cols>
  <sheetData>
    <row r="1" spans="1:2" ht="12.75">
      <c r="A1" s="171" t="s">
        <v>144</v>
      </c>
      <c r="B1" s="172"/>
    </row>
    <row r="2" spans="1:2" ht="12.75">
      <c r="A2" s="39" t="s">
        <v>146</v>
      </c>
      <c r="B2" s="179">
        <v>40087</v>
      </c>
    </row>
    <row r="3" spans="1:2" ht="12.75">
      <c r="A3" s="39" t="s">
        <v>147</v>
      </c>
      <c r="B3" s="179">
        <v>40117</v>
      </c>
    </row>
    <row r="5" spans="1:3" ht="12.75">
      <c r="A5" s="175" t="s">
        <v>152</v>
      </c>
      <c r="B5" s="176"/>
      <c r="C5" s="176"/>
    </row>
    <row r="6" spans="2:3" ht="12.75">
      <c r="B6" s="174" t="s">
        <v>149</v>
      </c>
      <c r="C6" s="174" t="s">
        <v>150</v>
      </c>
    </row>
    <row r="7" spans="1:2" ht="12.75">
      <c r="A7" s="39" t="s">
        <v>148</v>
      </c>
      <c r="B7" s="222"/>
    </row>
    <row r="8" spans="1:2" ht="12.75">
      <c r="A8" s="22" t="str">
        <f>CONCATENATE("Capital Account Balance (",TEXT(B2,"mmm dd, yyyy"),")")</f>
        <v>Capital Account Balance (Oct 01, 2009)</v>
      </c>
      <c r="B8" s="220">
        <v>9679</v>
      </c>
    </row>
    <row r="9" spans="1:2" ht="12.75">
      <c r="A9" s="22" t="s">
        <v>159</v>
      </c>
      <c r="B9" s="220">
        <v>8153</v>
      </c>
    </row>
    <row r="10" spans="1:2" ht="12.75">
      <c r="A10" s="22" t="s">
        <v>154</v>
      </c>
      <c r="B10" s="220">
        <v>4000</v>
      </c>
    </row>
    <row r="11" spans="1:2" ht="12.75">
      <c r="A11" s="177" t="str">
        <f>CONCATENATE("Capital Account Balance (",TEXT(B3,"mmm dd, yyyy"),")")</f>
        <v>Capital Account Balance (Oct 31, 2009)</v>
      </c>
      <c r="B11" s="223">
        <v>13834</v>
      </c>
    </row>
    <row r="12" spans="1:2" s="162" customFormat="1" ht="12.75">
      <c r="A12" s="163"/>
      <c r="B12" s="222"/>
    </row>
    <row r="13" spans="1:2" ht="12.75">
      <c r="A13" s="39" t="s">
        <v>145</v>
      </c>
      <c r="B13" s="222"/>
    </row>
    <row r="14" spans="1:2" ht="12.75">
      <c r="A14" s="22" t="str">
        <f>CONCATENATE("Capital Account Balance (",TEXT(B3,"mmm dd, yyyy"),")")</f>
        <v>Capital Account Balance (Oct 31, 2009)</v>
      </c>
      <c r="B14" s="220">
        <v>13834</v>
      </c>
    </row>
    <row r="15" spans="1:2" ht="12.75">
      <c r="A15" s="22" t="s">
        <v>136</v>
      </c>
      <c r="B15" s="222"/>
    </row>
    <row r="16" spans="1:3" ht="12.75">
      <c r="A16" s="173" t="s">
        <v>137</v>
      </c>
      <c r="B16" s="220">
        <v>4000</v>
      </c>
      <c r="C16" s="22" t="s">
        <v>252</v>
      </c>
    </row>
    <row r="17" spans="1:3" ht="12.75">
      <c r="A17" s="173" t="s">
        <v>138</v>
      </c>
      <c r="B17" s="220">
        <v>4500</v>
      </c>
      <c r="C17" s="22" t="s">
        <v>252</v>
      </c>
    </row>
    <row r="18" spans="1:3" ht="12.75">
      <c r="A18" s="173" t="s">
        <v>160</v>
      </c>
      <c r="B18" s="220">
        <v>5000</v>
      </c>
      <c r="C18" s="22" t="s">
        <v>161</v>
      </c>
    </row>
    <row r="19" spans="1:2" ht="12.75">
      <c r="A19" s="177" t="s">
        <v>135</v>
      </c>
      <c r="B19" s="223">
        <f>B14-B16-B17-B18</f>
        <v>334</v>
      </c>
    </row>
    <row r="24" s="39" customFormat="1" ht="12.75"/>
    <row r="25" s="24" customFormat="1" ht="12.75"/>
    <row r="26" s="24" customFormat="1" ht="12.75"/>
    <row r="27" s="24" customFormat="1" ht="12.75"/>
  </sheetData>
  <sheetProtection/>
  <printOptions/>
  <pageMargins left="0.75" right="0.75" top="1" bottom="1" header="0.5" footer="0.5"/>
  <pageSetup fitToHeight="1" fitToWidth="1"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54.8515625" style="192" bestFit="1" customWidth="1"/>
    <col min="2" max="2" width="16.8515625" style="193" bestFit="1" customWidth="1"/>
    <col min="3" max="3" width="8.00390625" style="194" bestFit="1" customWidth="1"/>
    <col min="4" max="4" width="8.28125" style="194" bestFit="1" customWidth="1"/>
    <col min="5" max="5" width="7.7109375" style="183" bestFit="1" customWidth="1"/>
    <col min="6" max="6" width="32.8515625" style="183" bestFit="1" customWidth="1"/>
    <col min="7" max="16384" width="9.140625" style="183" customWidth="1"/>
  </cols>
  <sheetData>
    <row r="1" spans="1:6" ht="25.5">
      <c r="A1" s="181" t="s">
        <v>168</v>
      </c>
      <c r="B1" s="221" t="s">
        <v>220</v>
      </c>
      <c r="C1" s="182" t="s">
        <v>169</v>
      </c>
      <c r="D1" s="182" t="s">
        <v>211</v>
      </c>
      <c r="E1" s="182" t="s">
        <v>170</v>
      </c>
      <c r="F1" s="182" t="s">
        <v>150</v>
      </c>
    </row>
    <row r="2" spans="1:5" ht="12.75">
      <c r="A2" s="184"/>
      <c r="B2" s="185"/>
      <c r="C2" s="186"/>
      <c r="D2" s="186"/>
      <c r="E2" s="187"/>
    </row>
    <row r="3" spans="1:6" ht="13.5" thickBot="1">
      <c r="A3" s="188" t="s">
        <v>221</v>
      </c>
      <c r="B3" s="189"/>
      <c r="C3" s="190"/>
      <c r="D3" s="190"/>
      <c r="E3" s="191"/>
      <c r="F3" s="191"/>
    </row>
    <row r="4" spans="1:6" ht="12.75">
      <c r="A4" s="192" t="s">
        <v>222</v>
      </c>
      <c r="B4" s="193">
        <v>28000</v>
      </c>
      <c r="C4" s="194" t="s">
        <v>175</v>
      </c>
      <c r="F4" s="183" t="s">
        <v>223</v>
      </c>
    </row>
    <row r="5" ht="12.75">
      <c r="A5" s="192" t="s">
        <v>224</v>
      </c>
    </row>
    <row r="6" spans="1:3" ht="12.75">
      <c r="A6" s="192" t="s">
        <v>225</v>
      </c>
      <c r="B6" s="193">
        <v>222</v>
      </c>
      <c r="C6" s="194" t="s">
        <v>175</v>
      </c>
    </row>
    <row r="7" spans="1:3" ht="12.75">
      <c r="A7" s="192" t="s">
        <v>226</v>
      </c>
      <c r="B7" s="193">
        <v>6000</v>
      </c>
      <c r="C7" s="194" t="s">
        <v>175</v>
      </c>
    </row>
    <row r="8" spans="1:3" ht="12.75">
      <c r="A8" s="192" t="s">
        <v>227</v>
      </c>
      <c r="B8" s="193">
        <v>310</v>
      </c>
      <c r="C8" s="194" t="s">
        <v>175</v>
      </c>
    </row>
    <row r="9" spans="1:3" ht="13.5" customHeight="1">
      <c r="A9" s="192" t="s">
        <v>228</v>
      </c>
      <c r="B9" s="193">
        <v>425</v>
      </c>
      <c r="C9" s="194" t="s">
        <v>175</v>
      </c>
    </row>
    <row r="10" spans="1:6" ht="12.75">
      <c r="A10" s="195" t="s">
        <v>229</v>
      </c>
      <c r="B10" s="196">
        <v>24795</v>
      </c>
      <c r="C10" s="197" t="s">
        <v>175</v>
      </c>
      <c r="D10" s="197"/>
      <c r="E10" s="198"/>
      <c r="F10" s="198" t="s">
        <v>230</v>
      </c>
    </row>
    <row r="11" spans="1:4" s="201" customFormat="1" ht="12.75">
      <c r="A11" s="199" t="s">
        <v>231</v>
      </c>
      <c r="B11" s="200">
        <f>SUM(B4:B10)</f>
        <v>59752</v>
      </c>
      <c r="C11" s="194"/>
      <c r="D11" s="194"/>
    </row>
    <row r="12" spans="1:5" ht="12.75">
      <c r="A12" s="184"/>
      <c r="B12" s="185"/>
      <c r="C12" s="186"/>
      <c r="D12" s="186"/>
      <c r="E12" s="187"/>
    </row>
    <row r="13" spans="1:6" ht="13.5" thickBot="1">
      <c r="A13" s="188" t="s">
        <v>9</v>
      </c>
      <c r="B13" s="189"/>
      <c r="C13" s="190"/>
      <c r="D13" s="190"/>
      <c r="E13" s="191"/>
      <c r="F13" s="191"/>
    </row>
    <row r="14" spans="1:5" ht="12.75">
      <c r="A14" s="192" t="s">
        <v>171</v>
      </c>
      <c r="B14" s="193">
        <v>7250</v>
      </c>
      <c r="C14" s="194">
        <v>2010</v>
      </c>
      <c r="D14" s="194" t="s">
        <v>212</v>
      </c>
      <c r="E14" s="183" t="s">
        <v>172</v>
      </c>
    </row>
    <row r="15" spans="1:5" ht="12.75">
      <c r="A15" s="192" t="s">
        <v>173</v>
      </c>
      <c r="B15" s="193">
        <v>6920</v>
      </c>
      <c r="C15" s="194">
        <v>2010</v>
      </c>
      <c r="D15" s="194" t="s">
        <v>212</v>
      </c>
      <c r="E15" s="183" t="s">
        <v>172</v>
      </c>
    </row>
    <row r="16" spans="1:5" ht="12.75">
      <c r="A16" s="192" t="s">
        <v>174</v>
      </c>
      <c r="B16" s="193">
        <v>7900</v>
      </c>
      <c r="C16" s="194" t="s">
        <v>175</v>
      </c>
      <c r="E16" s="183" t="s">
        <v>176</v>
      </c>
    </row>
    <row r="17" spans="1:6" ht="25.5">
      <c r="A17" s="192" t="s">
        <v>177</v>
      </c>
      <c r="B17" s="193">
        <v>12000</v>
      </c>
      <c r="C17" s="194">
        <v>2010</v>
      </c>
      <c r="E17" s="183" t="s">
        <v>176</v>
      </c>
      <c r="F17" s="192" t="s">
        <v>232</v>
      </c>
    </row>
    <row r="18" spans="1:5" ht="12.75">
      <c r="A18" s="192" t="s">
        <v>178</v>
      </c>
      <c r="B18" s="193">
        <v>1800</v>
      </c>
      <c r="C18" s="194">
        <v>2010</v>
      </c>
      <c r="E18" s="183" t="s">
        <v>176</v>
      </c>
    </row>
    <row r="19" spans="1:5" ht="12.75">
      <c r="A19" s="192" t="s">
        <v>251</v>
      </c>
      <c r="B19" s="193">
        <v>28000</v>
      </c>
      <c r="C19" s="194" t="s">
        <v>175</v>
      </c>
      <c r="E19" s="183" t="s">
        <v>176</v>
      </c>
    </row>
    <row r="20" spans="1:5" ht="12.75">
      <c r="A20" s="192" t="s">
        <v>179</v>
      </c>
      <c r="B20" s="193">
        <v>4930</v>
      </c>
      <c r="C20" s="194">
        <v>2010</v>
      </c>
      <c r="E20" s="183" t="s">
        <v>180</v>
      </c>
    </row>
    <row r="21" spans="1:5" ht="12.75">
      <c r="A21" s="192" t="s">
        <v>181</v>
      </c>
      <c r="B21" s="193">
        <v>1730</v>
      </c>
      <c r="C21" s="194">
        <v>2010</v>
      </c>
      <c r="E21" s="183" t="s">
        <v>180</v>
      </c>
    </row>
    <row r="22" spans="1:5" ht="12.75">
      <c r="A22" s="192" t="s">
        <v>182</v>
      </c>
      <c r="B22" s="193">
        <v>3850</v>
      </c>
      <c r="C22" s="194">
        <v>2010</v>
      </c>
      <c r="E22" s="183" t="s">
        <v>180</v>
      </c>
    </row>
    <row r="23" spans="1:5" ht="12.75">
      <c r="A23" s="192" t="s">
        <v>183</v>
      </c>
      <c r="B23" s="193">
        <v>3780</v>
      </c>
      <c r="C23" s="194">
        <v>2010</v>
      </c>
      <c r="E23" s="183" t="s">
        <v>180</v>
      </c>
    </row>
    <row r="24" spans="1:5" ht="12.75">
      <c r="A24" s="192" t="s">
        <v>184</v>
      </c>
      <c r="B24" s="193">
        <v>12000</v>
      </c>
      <c r="C24" s="194" t="s">
        <v>175</v>
      </c>
      <c r="E24" s="183" t="s">
        <v>185</v>
      </c>
    </row>
    <row r="25" spans="1:6" ht="12.75">
      <c r="A25" s="195" t="s">
        <v>186</v>
      </c>
      <c r="B25" s="196">
        <v>575</v>
      </c>
      <c r="C25" s="197">
        <v>2010</v>
      </c>
      <c r="D25" s="197"/>
      <c r="E25" s="198" t="s">
        <v>187</v>
      </c>
      <c r="F25" s="198"/>
    </row>
    <row r="26" spans="1:4" s="201" customFormat="1" ht="12.75">
      <c r="A26" s="199" t="s">
        <v>188</v>
      </c>
      <c r="B26" s="200">
        <f>SUM(B14:B25)</f>
        <v>90735</v>
      </c>
      <c r="C26" s="194"/>
      <c r="D26" s="194"/>
    </row>
    <row r="27" spans="1:4" s="201" customFormat="1" ht="12.75">
      <c r="A27" s="199"/>
      <c r="B27" s="200"/>
      <c r="C27" s="194"/>
      <c r="D27" s="194"/>
    </row>
    <row r="29" spans="1:6" ht="13.5" thickBot="1">
      <c r="A29" s="188" t="s">
        <v>233</v>
      </c>
      <c r="B29" s="189"/>
      <c r="C29" s="190"/>
      <c r="D29" s="190"/>
      <c r="E29" s="191"/>
      <c r="F29" s="191"/>
    </row>
    <row r="30" spans="1:5" ht="12.75">
      <c r="A30" s="192" t="s">
        <v>234</v>
      </c>
      <c r="B30" s="193">
        <v>2400</v>
      </c>
      <c r="C30" s="194">
        <v>2010</v>
      </c>
      <c r="E30" s="183" t="s">
        <v>172</v>
      </c>
    </row>
    <row r="31" spans="1:5" ht="12.75">
      <c r="A31" s="192" t="s">
        <v>235</v>
      </c>
      <c r="B31" s="193">
        <v>29500</v>
      </c>
      <c r="C31" s="194">
        <v>2010</v>
      </c>
      <c r="D31" s="194" t="s">
        <v>212</v>
      </c>
      <c r="E31" s="183" t="s">
        <v>172</v>
      </c>
    </row>
    <row r="32" spans="1:6" ht="12.75">
      <c r="A32" s="195" t="s">
        <v>236</v>
      </c>
      <c r="B32" s="196">
        <v>57500</v>
      </c>
      <c r="C32" s="197" t="s">
        <v>175</v>
      </c>
      <c r="D32" s="197"/>
      <c r="E32" s="198" t="s">
        <v>172</v>
      </c>
      <c r="F32" s="198" t="s">
        <v>237</v>
      </c>
    </row>
    <row r="33" spans="1:4" s="201" customFormat="1" ht="12.75">
      <c r="A33" s="199" t="s">
        <v>238</v>
      </c>
      <c r="B33" s="200">
        <f>SUM(B30:B32)</f>
        <v>89400</v>
      </c>
      <c r="C33" s="194"/>
      <c r="D33" s="194"/>
    </row>
    <row r="35" spans="1:6" ht="13.5" thickBot="1">
      <c r="A35" s="188" t="s">
        <v>189</v>
      </c>
      <c r="B35" s="189"/>
      <c r="C35" s="190"/>
      <c r="D35" s="190"/>
      <c r="E35" s="191"/>
      <c r="F35" s="191"/>
    </row>
    <row r="36" spans="1:5" ht="12.75">
      <c r="A36" s="192" t="s">
        <v>190</v>
      </c>
      <c r="B36" s="193">
        <v>53000</v>
      </c>
      <c r="C36" s="194" t="s">
        <v>175</v>
      </c>
      <c r="E36" s="183" t="s">
        <v>176</v>
      </c>
    </row>
    <row r="37" spans="1:5" ht="12.75">
      <c r="A37" s="192" t="s">
        <v>191</v>
      </c>
      <c r="B37" s="193">
        <v>71750</v>
      </c>
      <c r="C37" s="194" t="s">
        <v>175</v>
      </c>
      <c r="E37" s="183" t="s">
        <v>192</v>
      </c>
    </row>
    <row r="38" spans="1:5" ht="12.75">
      <c r="A38" s="192" t="s">
        <v>193</v>
      </c>
      <c r="B38" s="193">
        <v>6880</v>
      </c>
      <c r="C38" s="194" t="s">
        <v>175</v>
      </c>
      <c r="E38" s="183" t="s">
        <v>194</v>
      </c>
    </row>
    <row r="39" spans="1:6" ht="12.75">
      <c r="A39" s="192" t="s">
        <v>195</v>
      </c>
      <c r="B39" s="193">
        <v>50000</v>
      </c>
      <c r="C39" s="194" t="s">
        <v>175</v>
      </c>
      <c r="E39" s="183" t="s">
        <v>172</v>
      </c>
      <c r="F39" s="183" t="s">
        <v>239</v>
      </c>
    </row>
    <row r="40" spans="1:6" ht="12.75">
      <c r="A40" s="195" t="s">
        <v>196</v>
      </c>
      <c r="B40" s="196">
        <v>4880</v>
      </c>
      <c r="C40" s="197" t="s">
        <v>175</v>
      </c>
      <c r="D40" s="197"/>
      <c r="E40" s="198" t="s">
        <v>194</v>
      </c>
      <c r="F40" s="198"/>
    </row>
    <row r="41" spans="1:4" s="201" customFormat="1" ht="12.75">
      <c r="A41" s="199" t="s">
        <v>197</v>
      </c>
      <c r="B41" s="200">
        <f>SUM(B36:B40)</f>
        <v>186510</v>
      </c>
      <c r="C41" s="202"/>
      <c r="D41" s="202"/>
    </row>
    <row r="42" spans="1:4" s="201" customFormat="1" ht="13.5" customHeight="1">
      <c r="A42" s="199"/>
      <c r="B42" s="200"/>
      <c r="C42" s="202"/>
      <c r="D42" s="202"/>
    </row>
    <row r="44" spans="1:6" s="201" customFormat="1" ht="13.5" thickBot="1">
      <c r="A44" s="188" t="s">
        <v>198</v>
      </c>
      <c r="B44" s="203" t="s">
        <v>54</v>
      </c>
      <c r="C44" s="190"/>
      <c r="D44" s="190"/>
      <c r="E44" s="204"/>
      <c r="F44" s="204"/>
    </row>
    <row r="45" spans="1:6" ht="12.75">
      <c r="A45" s="205" t="s">
        <v>240</v>
      </c>
      <c r="B45" s="206">
        <v>20000</v>
      </c>
      <c r="C45" s="207" t="s">
        <v>175</v>
      </c>
      <c r="D45" s="207"/>
      <c r="E45" s="208"/>
      <c r="F45" s="208" t="s">
        <v>241</v>
      </c>
    </row>
    <row r="46" spans="1:4" s="201" customFormat="1" ht="12.75">
      <c r="A46" s="199" t="s">
        <v>199</v>
      </c>
      <c r="B46" s="200">
        <f>B45</f>
        <v>20000</v>
      </c>
      <c r="C46" s="202"/>
      <c r="D46" s="202"/>
    </row>
    <row r="47" spans="1:4" s="201" customFormat="1" ht="12.75">
      <c r="A47" s="199"/>
      <c r="B47" s="200"/>
      <c r="C47" s="202"/>
      <c r="D47" s="202"/>
    </row>
    <row r="48" spans="1:4" s="201" customFormat="1" ht="12.75">
      <c r="A48" s="199"/>
      <c r="B48" s="200"/>
      <c r="C48" s="202"/>
      <c r="D48" s="202"/>
    </row>
    <row r="49" spans="1:6" s="201" customFormat="1" ht="13.5" thickBot="1">
      <c r="A49" s="188" t="s">
        <v>242</v>
      </c>
      <c r="B49" s="203" t="s">
        <v>54</v>
      </c>
      <c r="C49" s="190"/>
      <c r="D49" s="190"/>
      <c r="E49" s="204"/>
      <c r="F49" s="204"/>
    </row>
    <row r="50" spans="1:6" ht="12.75">
      <c r="A50" s="192" t="s">
        <v>243</v>
      </c>
      <c r="B50" s="193">
        <v>168000</v>
      </c>
      <c r="C50" s="194" t="s">
        <v>175</v>
      </c>
      <c r="F50" s="183" t="s">
        <v>244</v>
      </c>
    </row>
    <row r="51" spans="1:6" ht="12.75">
      <c r="A51" s="192" t="s">
        <v>245</v>
      </c>
      <c r="B51" s="193">
        <v>4600</v>
      </c>
      <c r="C51" s="194" t="s">
        <v>175</v>
      </c>
      <c r="F51" s="183" t="s">
        <v>244</v>
      </c>
    </row>
    <row r="52" spans="1:6" ht="12.75">
      <c r="A52" s="192" t="s">
        <v>246</v>
      </c>
      <c r="B52" s="193">
        <v>0</v>
      </c>
      <c r="C52" s="194" t="s">
        <v>175</v>
      </c>
      <c r="F52" s="183" t="s">
        <v>247</v>
      </c>
    </row>
    <row r="53" spans="1:6" ht="12.75" customHeight="1">
      <c r="A53" s="192" t="s">
        <v>248</v>
      </c>
      <c r="B53" s="193">
        <v>0</v>
      </c>
      <c r="C53" s="194" t="s">
        <v>175</v>
      </c>
      <c r="F53" s="183" t="s">
        <v>247</v>
      </c>
    </row>
    <row r="54" spans="1:6" ht="12.75">
      <c r="A54" s="195" t="s">
        <v>249</v>
      </c>
      <c r="B54" s="196">
        <v>0</v>
      </c>
      <c r="C54" s="197" t="s">
        <v>175</v>
      </c>
      <c r="D54" s="197"/>
      <c r="E54" s="198"/>
      <c r="F54" s="198" t="s">
        <v>247</v>
      </c>
    </row>
    <row r="55" spans="1:4" s="201" customFormat="1" ht="12.75">
      <c r="A55" s="199" t="s">
        <v>199</v>
      </c>
      <c r="B55" s="200">
        <f>SUM(B50:B54)</f>
        <v>172600</v>
      </c>
      <c r="C55" s="202"/>
      <c r="D55" s="202"/>
    </row>
    <row r="56" spans="1:4" s="201" customFormat="1" ht="12.75">
      <c r="A56" s="199"/>
      <c r="B56" s="200"/>
      <c r="C56" s="202"/>
      <c r="D56" s="202"/>
    </row>
    <row r="57" spans="1:2" ht="12.75">
      <c r="A57" s="199" t="s">
        <v>200</v>
      </c>
      <c r="B57" s="200">
        <f>SUM(B55,B46,B41,B33,B26,B11)</f>
        <v>618997</v>
      </c>
    </row>
    <row r="58" spans="1:2" ht="12.75">
      <c r="A58" s="199"/>
      <c r="B58" s="200"/>
    </row>
    <row r="59" spans="1:2" ht="12.75">
      <c r="A59" s="199" t="s">
        <v>201</v>
      </c>
      <c r="B59" s="200">
        <f>SUM(B31,B30,B25,B23,B22,B21,B20,B18,B17,B15,B14)</f>
        <v>74735</v>
      </c>
    </row>
    <row r="60" spans="1:2" ht="12.75">
      <c r="A60" s="209" t="s">
        <v>213</v>
      </c>
      <c r="B60" s="210">
        <f>SUMIF(D1:D55,"Complete",B1:B55)</f>
        <v>43670</v>
      </c>
    </row>
    <row r="61" spans="1:2" ht="12.75">
      <c r="A61" s="199" t="s">
        <v>214</v>
      </c>
      <c r="B61" s="200">
        <f>B59-B60</f>
        <v>31065</v>
      </c>
    </row>
    <row r="64" spans="1:2" ht="12.75">
      <c r="A64" s="201" t="s">
        <v>202</v>
      </c>
      <c r="B64" s="183"/>
    </row>
    <row r="65" spans="1:2" ht="12.75">
      <c r="A65" s="183" t="s">
        <v>176</v>
      </c>
      <c r="B65" s="183" t="s">
        <v>203</v>
      </c>
    </row>
    <row r="66" spans="1:2" ht="12.75">
      <c r="A66" s="183" t="s">
        <v>180</v>
      </c>
      <c r="B66" s="183" t="s">
        <v>204</v>
      </c>
    </row>
    <row r="67" spans="1:2" ht="12.75">
      <c r="A67" s="183" t="s">
        <v>187</v>
      </c>
      <c r="B67" s="183" t="s">
        <v>250</v>
      </c>
    </row>
    <row r="68" spans="1:2" ht="12.75">
      <c r="A68" s="183" t="s">
        <v>194</v>
      </c>
      <c r="B68" s="183" t="s">
        <v>205</v>
      </c>
    </row>
    <row r="69" spans="1:2" ht="12.75">
      <c r="A69" s="183" t="s">
        <v>206</v>
      </c>
      <c r="B69" s="183" t="s">
        <v>207</v>
      </c>
    </row>
    <row r="70" spans="1:2" ht="12.75">
      <c r="A70" s="183" t="s">
        <v>208</v>
      </c>
      <c r="B70" s="183" t="s">
        <v>209</v>
      </c>
    </row>
    <row r="71" spans="1:6" s="194" customFormat="1" ht="12.75">
      <c r="A71" s="183" t="s">
        <v>185</v>
      </c>
      <c r="B71" s="183" t="s">
        <v>210</v>
      </c>
      <c r="E71" s="183"/>
      <c r="F71" s="183"/>
    </row>
  </sheetData>
  <sheetProtection/>
  <conditionalFormatting sqref="C30:D65536 C24:D28 C13:D19 C12:E12 C10:D11 C6:C9 C1:E2 C3:D4 F1">
    <cfRule type="cellIs" priority="3" dxfId="1" operator="equal" stopIfTrue="1">
      <formula>"Medium"</formula>
    </cfRule>
    <cfRule type="cellIs" priority="4" dxfId="0" operator="equal" stopIfTrue="1">
      <formula>"High"</formula>
    </cfRule>
  </conditionalFormatting>
  <printOptions/>
  <pageMargins left="0.7" right="0.7" top="0.75" bottom="0.75" header="0.3" footer="0.3"/>
  <pageSetup fitToHeight="1" fitToWidth="1" orientation="portrait" scale="70" r:id="rId1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zoomScalePageLayoutView="0" workbookViewId="0" topLeftCell="A1">
      <pane ySplit="1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2" customWidth="1"/>
    <col min="2" max="2" width="45.28125" style="22" customWidth="1"/>
    <col min="3" max="3" width="2.28125" style="22" customWidth="1"/>
    <col min="4" max="4" width="13.421875" style="65" bestFit="1" customWidth="1"/>
    <col min="5" max="5" width="7.421875" style="99" bestFit="1" customWidth="1"/>
    <col min="6" max="6" width="2.28125" style="23" customWidth="1"/>
    <col min="7" max="7" width="14.140625" style="65" bestFit="1" customWidth="1"/>
    <col min="8" max="8" width="7.421875" style="99" bestFit="1" customWidth="1"/>
    <col min="9" max="9" width="2.28125" style="23" customWidth="1"/>
    <col min="10" max="10" width="14.00390625" style="65" bestFit="1" customWidth="1"/>
    <col min="11" max="11" width="7.421875" style="81" bestFit="1" customWidth="1"/>
    <col min="12" max="12" width="2.28125" style="23" customWidth="1"/>
    <col min="13" max="13" width="14.421875" style="111" bestFit="1" customWidth="1"/>
    <col min="14" max="14" width="7.421875" style="81" bestFit="1" customWidth="1"/>
    <col min="15" max="15" width="2.28125" style="23" customWidth="1"/>
    <col min="16" max="16" width="15.00390625" style="118" bestFit="1" customWidth="1"/>
    <col min="17" max="17" width="14.28125" style="90" bestFit="1" customWidth="1"/>
    <col min="18" max="16384" width="9.140625" style="22" customWidth="1"/>
  </cols>
  <sheetData>
    <row r="1" spans="4:17" s="76" customFormat="1" ht="28.5">
      <c r="D1" s="77" t="s">
        <v>126</v>
      </c>
      <c r="E1" s="97" t="s">
        <v>123</v>
      </c>
      <c r="F1" s="78"/>
      <c r="G1" s="77" t="s">
        <v>125</v>
      </c>
      <c r="H1" s="97" t="s">
        <v>123</v>
      </c>
      <c r="I1" s="78"/>
      <c r="J1" s="77" t="s">
        <v>127</v>
      </c>
      <c r="K1" s="79" t="s">
        <v>123</v>
      </c>
      <c r="L1" s="78"/>
      <c r="M1" s="109" t="s">
        <v>124</v>
      </c>
      <c r="N1" s="79" t="s">
        <v>123</v>
      </c>
      <c r="O1" s="78"/>
      <c r="P1" s="116" t="s">
        <v>91</v>
      </c>
      <c r="Q1" s="108" t="s">
        <v>90</v>
      </c>
    </row>
    <row r="2" spans="4:17" s="62" customFormat="1" ht="14.25">
      <c r="D2" s="64"/>
      <c r="E2" s="98"/>
      <c r="F2" s="63"/>
      <c r="G2" s="64"/>
      <c r="H2" s="98"/>
      <c r="I2" s="63"/>
      <c r="J2" s="64"/>
      <c r="K2" s="80"/>
      <c r="L2" s="63"/>
      <c r="M2" s="110"/>
      <c r="N2" s="80"/>
      <c r="O2" s="63"/>
      <c r="P2" s="117"/>
      <c r="Q2" s="89"/>
    </row>
    <row r="3" ht="12.75">
      <c r="A3" s="39" t="s">
        <v>122</v>
      </c>
    </row>
    <row r="5" spans="1:18" ht="12.75">
      <c r="A5" s="7">
        <v>3000</v>
      </c>
      <c r="B5" s="37" t="s">
        <v>15</v>
      </c>
      <c r="D5" s="65">
        <v>369446.55</v>
      </c>
      <c r="E5" s="99">
        <f aca="true" t="shared" si="0" ref="E5:E18">D5/$D$20</f>
        <v>0.6407641351468732</v>
      </c>
      <c r="G5" s="65">
        <v>411185.19</v>
      </c>
      <c r="H5" s="99">
        <f aca="true" t="shared" si="1" ref="H5:H18">G5/$G$20</f>
        <v>0.6969249013320831</v>
      </c>
      <c r="J5" s="65">
        <f>IF(ISERROR(VLOOKUP(A5,'2009 Actual'!C4:L57,10,FALSE)),0,VLOOKUP(A5,'2009 Actual'!C4:L57,10,FALSE))</f>
        <v>431672</v>
      </c>
      <c r="K5" s="81">
        <f>J5/$J$20</f>
        <v>0.6830863402765379</v>
      </c>
      <c r="M5" s="111">
        <f>IF(ISERROR(VLOOKUP(A5,'2010 Budget'!C4:M57,10,FALSE)),0,VLOOKUP(A5,'2010 Budget'!C4:M57,10,FALSE))</f>
        <v>472000</v>
      </c>
      <c r="N5" s="81">
        <f aca="true" t="shared" si="2" ref="N5:N12">M5/$M$20</f>
        <v>0.7319645183301284</v>
      </c>
      <c r="P5" s="118">
        <f>M5-J5</f>
        <v>40328</v>
      </c>
      <c r="Q5" s="90">
        <f>(M5-J5)/J5</f>
        <v>0.09342278396560351</v>
      </c>
      <c r="R5" s="126"/>
    </row>
    <row r="6" spans="1:17" ht="12.75">
      <c r="A6" s="7">
        <v>3020</v>
      </c>
      <c r="B6" s="37" t="s">
        <v>16</v>
      </c>
      <c r="D6" s="65">
        <v>36477.09</v>
      </c>
      <c r="E6" s="99">
        <f t="shared" si="0"/>
        <v>0.06326547379187776</v>
      </c>
      <c r="G6" s="65">
        <v>39083.75</v>
      </c>
      <c r="H6" s="99">
        <f t="shared" si="1"/>
        <v>0.0662437249075965</v>
      </c>
      <c r="J6" s="65">
        <f>IF(ISERROR(VLOOKUP(A6,'2009 Actual'!C5:L58,10,FALSE)),0,VLOOKUP(A6,'2009 Actual'!C5:L58,10,FALSE))</f>
        <v>39595</v>
      </c>
      <c r="K6" s="81">
        <f aca="true" t="shared" si="3" ref="K6:K18">J6/$J$20</f>
        <v>0.0626559138495189</v>
      </c>
      <c r="M6" s="111">
        <f>IF(ISERROR(VLOOKUP(A6,'2010 Budget'!C5:M58,10,FALSE)),0,VLOOKUP(A6,'2010 Budget'!C5:M58,10,FALSE))</f>
        <v>37000</v>
      </c>
      <c r="N6" s="81">
        <f t="shared" si="2"/>
        <v>0.057378574530115994</v>
      </c>
      <c r="P6" s="118">
        <f aca="true" t="shared" si="4" ref="P6:P18">M6-J6</f>
        <v>-2595</v>
      </c>
      <c r="Q6" s="90">
        <f aca="true" t="shared" si="5" ref="Q6:Q20">(M6-J6)/J6</f>
        <v>-0.06553857810329587</v>
      </c>
    </row>
    <row r="7" spans="1:17" ht="12.75">
      <c r="A7" s="7">
        <v>3030</v>
      </c>
      <c r="B7" s="37" t="s">
        <v>17</v>
      </c>
      <c r="D7" s="65">
        <v>36085.1</v>
      </c>
      <c r="E7" s="99">
        <f t="shared" si="0"/>
        <v>0.06258561053875976</v>
      </c>
      <c r="G7" s="65">
        <v>25938.17</v>
      </c>
      <c r="H7" s="99">
        <f t="shared" si="1"/>
        <v>0.043963053649828186</v>
      </c>
      <c r="J7" s="65">
        <f>IF(ISERROR(VLOOKUP(A7,'2009 Actual'!C6:L59,10,FALSE)),0,VLOOKUP(A7,'2009 Actual'!C6:L59,10,FALSE))</f>
        <v>31186</v>
      </c>
      <c r="K7" s="81">
        <f t="shared" si="3"/>
        <v>0.04934934535449163</v>
      </c>
      <c r="M7" s="111">
        <f>IF(ISERROR(VLOOKUP(A7,'2010 Budget'!C6:M59,10,FALSE)),0,VLOOKUP(A7,'2010 Budget'!C6:M59,10,FALSE))</f>
        <v>26000</v>
      </c>
      <c r="N7" s="81">
        <f t="shared" si="2"/>
        <v>0.04032007939954097</v>
      </c>
      <c r="P7" s="118">
        <f t="shared" si="4"/>
        <v>-5186</v>
      </c>
      <c r="Q7" s="90">
        <f t="shared" si="5"/>
        <v>-0.16629256717757968</v>
      </c>
    </row>
    <row r="8" spans="1:17" ht="12.75">
      <c r="A8" s="7">
        <v>3040</v>
      </c>
      <c r="B8" s="37" t="s">
        <v>67</v>
      </c>
      <c r="D8" s="65">
        <v>10503.26</v>
      </c>
      <c r="E8" s="99">
        <f t="shared" si="0"/>
        <v>0.018216741528978272</v>
      </c>
      <c r="G8" s="65">
        <v>8483.69</v>
      </c>
      <c r="H8" s="99">
        <f t="shared" si="1"/>
        <v>0.014379153140661462</v>
      </c>
      <c r="J8" s="65">
        <f>IF(ISERROR(VLOOKUP(A8,'2009 Actual'!C7:L60,10,FALSE)),0,VLOOKUP(A8,'2009 Actual'!C7:L60,10,FALSE))</f>
        <v>10146</v>
      </c>
      <c r="K8" s="81">
        <f t="shared" si="3"/>
        <v>0.016055231769597642</v>
      </c>
      <c r="M8" s="111">
        <f>IF(ISERROR(VLOOKUP(A8,'2010 Budget'!C7:M60,10,FALSE)),0,VLOOKUP(A8,'2010 Budget'!C7:M60,10,FALSE))</f>
        <v>7700</v>
      </c>
      <c r="N8" s="81">
        <f t="shared" si="2"/>
        <v>0.011940946591402518</v>
      </c>
      <c r="P8" s="118">
        <f t="shared" si="4"/>
        <v>-2446</v>
      </c>
      <c r="Q8" s="90">
        <f t="shared" si="5"/>
        <v>-0.2410802286615415</v>
      </c>
    </row>
    <row r="9" spans="1:17" ht="12.75">
      <c r="A9" s="41">
        <v>3100</v>
      </c>
      <c r="B9" s="37" t="s">
        <v>19</v>
      </c>
      <c r="D9" s="65">
        <v>17241.5</v>
      </c>
      <c r="E9" s="99">
        <f t="shared" si="0"/>
        <v>0.029903472738166903</v>
      </c>
      <c r="G9" s="65">
        <v>15339.25</v>
      </c>
      <c r="H9" s="99">
        <f t="shared" si="1"/>
        <v>0.025998760540860325</v>
      </c>
      <c r="J9" s="65">
        <f>IF(ISERROR(VLOOKUP(A9,'2009 Actual'!C8:L61,10,FALSE)),0,VLOOKUP(A9,'2009 Actual'!C8:L61,10,FALSE))</f>
        <v>15963</v>
      </c>
      <c r="K9" s="81">
        <f t="shared" si="3"/>
        <v>0.025260168020706405</v>
      </c>
      <c r="M9" s="111">
        <f>IF(ISERROR(VLOOKUP(A9,'2010 Budget'!C8:M61,10,FALSE)),0,VLOOKUP(A9,'2010 Budget'!C8:M61,10,FALSE))</f>
        <v>13575</v>
      </c>
      <c r="N9" s="81">
        <f t="shared" si="2"/>
        <v>0.02105173376341418</v>
      </c>
      <c r="P9" s="118">
        <f t="shared" si="4"/>
        <v>-2388</v>
      </c>
      <c r="Q9" s="90">
        <f t="shared" si="5"/>
        <v>-0.1495959406126668</v>
      </c>
    </row>
    <row r="10" spans="1:17" ht="12.75">
      <c r="A10" s="41">
        <v>3110</v>
      </c>
      <c r="B10" s="37" t="s">
        <v>20</v>
      </c>
      <c r="D10" s="65">
        <v>1045</v>
      </c>
      <c r="E10" s="99">
        <f t="shared" si="0"/>
        <v>0.0018124367956027267</v>
      </c>
      <c r="G10" s="65">
        <v>1015</v>
      </c>
      <c r="H10" s="99">
        <f t="shared" si="1"/>
        <v>0.0017203410824501348</v>
      </c>
      <c r="J10" s="65">
        <f>IF(ISERROR(VLOOKUP(A10,'2009 Actual'!C9:L62,10,FALSE)),0,VLOOKUP(A10,'2009 Actual'!C9:L62,10,FALSE))</f>
        <v>960</v>
      </c>
      <c r="K10" s="81">
        <f t="shared" si="3"/>
        <v>0.0015191230533031477</v>
      </c>
      <c r="M10" s="111">
        <f>IF(ISERROR(VLOOKUP(A10,'2010 Budget'!C9:M62,10,FALSE)),0,VLOOKUP(A10,'2010 Budget'!C9:M62,10,FALSE))</f>
        <v>850</v>
      </c>
      <c r="N10" s="81">
        <f t="shared" si="2"/>
        <v>0.0013181564419080703</v>
      </c>
      <c r="P10" s="118">
        <f t="shared" si="4"/>
        <v>-110</v>
      </c>
      <c r="Q10" s="90">
        <f t="shared" si="5"/>
        <v>-0.11458333333333333</v>
      </c>
    </row>
    <row r="11" spans="1:16" ht="12.75">
      <c r="A11" s="41">
        <v>3200</v>
      </c>
      <c r="B11" s="37" t="s">
        <v>21</v>
      </c>
      <c r="D11" s="65">
        <v>0</v>
      </c>
      <c r="E11" s="99">
        <f t="shared" si="0"/>
        <v>0</v>
      </c>
      <c r="G11" s="65">
        <v>0</v>
      </c>
      <c r="H11" s="99">
        <f t="shared" si="1"/>
        <v>0</v>
      </c>
      <c r="J11" s="65">
        <f>IF(ISERROR(VLOOKUP(A11,'2009 Actual'!C10:L63,10,FALSE)),0,VLOOKUP(A11,'2009 Actual'!C10:L63,10,FALSE))</f>
        <v>0</v>
      </c>
      <c r="K11" s="81">
        <f t="shared" si="3"/>
        <v>0</v>
      </c>
      <c r="M11" s="111">
        <f>IF(ISERROR(VLOOKUP(A11,'2010 Budget'!C10:M63,10,FALSE)),0,VLOOKUP(A11,'2010 Budget'!C10:M63,10,FALSE))</f>
        <v>0</v>
      </c>
      <c r="N11" s="81">
        <f t="shared" si="2"/>
        <v>0</v>
      </c>
      <c r="P11" s="118">
        <f t="shared" si="4"/>
        <v>0</v>
      </c>
    </row>
    <row r="12" spans="1:17" ht="12.75">
      <c r="A12" s="41">
        <v>3350</v>
      </c>
      <c r="B12" s="37" t="s">
        <v>68</v>
      </c>
      <c r="D12" s="65">
        <v>13957</v>
      </c>
      <c r="E12" s="99">
        <f t="shared" si="0"/>
        <v>0.024206871154284455</v>
      </c>
      <c r="G12" s="65">
        <v>12373</v>
      </c>
      <c r="H12" s="99">
        <f t="shared" si="1"/>
        <v>0.020971212032665533</v>
      </c>
      <c r="J12" s="65">
        <f>IF(ISERROR(VLOOKUP(A12,'2009 Actual'!C11:L64,10,FALSE)),0,VLOOKUP(A12,'2009 Actual'!C11:L64,10,FALSE))</f>
        <v>12087</v>
      </c>
      <c r="K12" s="81">
        <f t="shared" si="3"/>
        <v>0.019126708692994945</v>
      </c>
      <c r="M12" s="111">
        <f>IF(ISERROR(VLOOKUP(A12,'2010 Budget'!C11:M64,10,FALSE)),0,VLOOKUP(A12,'2010 Budget'!C11:M64,10,FALSE))</f>
        <v>10000</v>
      </c>
      <c r="N12" s="81">
        <f t="shared" si="2"/>
        <v>0.015507722845977297</v>
      </c>
      <c r="P12" s="118">
        <f t="shared" si="4"/>
        <v>-2087</v>
      </c>
      <c r="Q12" s="90">
        <f t="shared" si="5"/>
        <v>-0.17266484652932904</v>
      </c>
    </row>
    <row r="13" spans="1:16" ht="12.75">
      <c r="A13" s="38">
        <v>3400</v>
      </c>
      <c r="B13" s="37" t="s">
        <v>92</v>
      </c>
      <c r="D13" s="65">
        <v>0</v>
      </c>
      <c r="E13" s="99">
        <f t="shared" si="0"/>
        <v>0</v>
      </c>
      <c r="G13" s="65">
        <v>-200</v>
      </c>
      <c r="H13" s="99">
        <f t="shared" si="1"/>
        <v>-0.00033898346452219404</v>
      </c>
      <c r="J13" s="65">
        <f>IF(ISERROR(VLOOKUP(A13,'2009 Actual'!C12:L65,10,FALSE)),0,VLOOKUP(A13,'2009 Actual'!C12:L65,10,FALSE))</f>
        <v>0</v>
      </c>
      <c r="K13" s="81">
        <f t="shared" si="3"/>
        <v>0</v>
      </c>
      <c r="M13" s="111">
        <f>IF(ISERROR(VLOOKUP(A13,'2010 Budget'!C12:M65,10,FALSE)),0,VLOOKUP(A13,'2010 Budget'!C12:M65,10,FALSE))</f>
        <v>0</v>
      </c>
      <c r="P13" s="118">
        <f t="shared" si="4"/>
        <v>0</v>
      </c>
    </row>
    <row r="14" spans="1:17" ht="12.75">
      <c r="A14" s="41">
        <v>3450</v>
      </c>
      <c r="B14" s="37" t="s">
        <v>69</v>
      </c>
      <c r="D14" s="65">
        <v>68328.2</v>
      </c>
      <c r="E14" s="99">
        <f t="shared" si="0"/>
        <v>0.11850769747110261</v>
      </c>
      <c r="G14" s="65">
        <v>60225.79</v>
      </c>
      <c r="H14" s="99">
        <f t="shared" si="1"/>
        <v>0.10207773473893055</v>
      </c>
      <c r="J14" s="65">
        <f>IF(ISERROR(VLOOKUP(A14,'2009 Actual'!C13:L66,10,FALSE)),0,VLOOKUP(A14,'2009 Actual'!C13:L66,10,FALSE))</f>
        <v>66744</v>
      </c>
      <c r="K14" s="81">
        <f t="shared" si="3"/>
        <v>0.10561703028090136</v>
      </c>
      <c r="M14" s="111">
        <f>IF(ISERROR(VLOOKUP(A14,'2010 Budget'!C13:M66,10,FALSE)),0,VLOOKUP(A14,'2010 Budget'!C13:M66,10,FALSE))</f>
        <v>63900</v>
      </c>
      <c r="N14" s="81">
        <f>M14/$M$20</f>
        <v>0.09909434898579493</v>
      </c>
      <c r="P14" s="118">
        <f t="shared" si="4"/>
        <v>-2844</v>
      </c>
      <c r="Q14" s="90">
        <f t="shared" si="5"/>
        <v>-0.04261057173678533</v>
      </c>
    </row>
    <row r="15" spans="1:17" ht="12.75">
      <c r="A15" s="41">
        <v>3500</v>
      </c>
      <c r="B15" s="37" t="s">
        <v>70</v>
      </c>
      <c r="D15" s="65">
        <v>649.27</v>
      </c>
      <c r="E15" s="99">
        <f t="shared" si="0"/>
        <v>0.0011260869265846722</v>
      </c>
      <c r="G15" s="65">
        <v>569.97</v>
      </c>
      <c r="H15" s="99">
        <f t="shared" si="1"/>
        <v>0.0009660520263685748</v>
      </c>
      <c r="J15" s="65">
        <f>IF(ISERROR(VLOOKUP(A15,'2009 Actual'!C14:L67,10,FALSE)),0,VLOOKUP(A15,'2009 Actual'!C14:L67,10,FALSE))</f>
        <v>377</v>
      </c>
      <c r="K15" s="81">
        <f t="shared" si="3"/>
        <v>0.0005965722823909237</v>
      </c>
      <c r="M15" s="111">
        <f>IF(ISERROR(VLOOKUP(A15,'2010 Budget'!C14:M67,10,FALSE)),0,VLOOKUP(A15,'2010 Budget'!C14:M67,10,FALSE))</f>
        <v>315</v>
      </c>
      <c r="N15" s="81">
        <f>M15/$M$20</f>
        <v>0.0004884932696482848</v>
      </c>
      <c r="P15" s="118">
        <f t="shared" si="4"/>
        <v>-62</v>
      </c>
      <c r="Q15" s="90">
        <f t="shared" si="5"/>
        <v>-0.16445623342175067</v>
      </c>
    </row>
    <row r="16" spans="1:16" ht="12.75">
      <c r="A16" s="41">
        <v>3550</v>
      </c>
      <c r="B16" s="37" t="s">
        <v>25</v>
      </c>
      <c r="D16" s="65">
        <v>0</v>
      </c>
      <c r="E16" s="99">
        <f t="shared" si="0"/>
        <v>0</v>
      </c>
      <c r="G16" s="65">
        <v>0</v>
      </c>
      <c r="H16" s="99">
        <f t="shared" si="1"/>
        <v>0</v>
      </c>
      <c r="J16" s="65">
        <f>IF(ISERROR(VLOOKUP(A16,'2009 Actual'!C15:L68,10,FALSE)),0,VLOOKUP(A16,'2009 Actual'!C15:L68,10,FALSE))</f>
        <v>0</v>
      </c>
      <c r="K16" s="81">
        <f t="shared" si="3"/>
        <v>0</v>
      </c>
      <c r="M16" s="111">
        <f>IF(ISERROR(VLOOKUP(A16,'2010 Budget'!C15:M68,10,FALSE)),0,VLOOKUP(A16,'2010 Budget'!C15:M68,10,FALSE))</f>
        <v>0</v>
      </c>
      <c r="N16" s="81">
        <f>M16/$M$20</f>
        <v>0</v>
      </c>
      <c r="P16" s="118">
        <f t="shared" si="4"/>
        <v>0</v>
      </c>
    </row>
    <row r="17" spans="1:16" ht="12.75">
      <c r="A17" s="41">
        <v>3600</v>
      </c>
      <c r="B17" s="37" t="s">
        <v>26</v>
      </c>
      <c r="D17" s="65">
        <v>0</v>
      </c>
      <c r="E17" s="99">
        <f t="shared" si="0"/>
        <v>0</v>
      </c>
      <c r="G17" s="65">
        <v>0</v>
      </c>
      <c r="H17" s="99">
        <f t="shared" si="1"/>
        <v>0</v>
      </c>
      <c r="J17" s="65">
        <f>IF(ISERROR(VLOOKUP(A17,'2009 Actual'!C16:L69,10,FALSE)),0,VLOOKUP(A17,'2009 Actual'!C16:L69,10,FALSE))</f>
        <v>0</v>
      </c>
      <c r="K17" s="81">
        <f t="shared" si="3"/>
        <v>0</v>
      </c>
      <c r="M17" s="111">
        <f>IF(ISERROR(VLOOKUP(A17,'2010 Budget'!C16:M69,10,FALSE)),0,VLOOKUP(A17,'2010 Budget'!C16:M69,10,FALSE))</f>
        <v>0</v>
      </c>
      <c r="N17" s="81">
        <f>M17/$M$20</f>
        <v>0</v>
      </c>
      <c r="P17" s="118">
        <f t="shared" si="4"/>
        <v>0</v>
      </c>
    </row>
    <row r="18" spans="1:17" ht="12.75">
      <c r="A18" s="41">
        <v>3700</v>
      </c>
      <c r="B18" s="37" t="s">
        <v>71</v>
      </c>
      <c r="D18" s="65">
        <v>22838.86</v>
      </c>
      <c r="E18" s="99">
        <f t="shared" si="0"/>
        <v>0.03961147390776966</v>
      </c>
      <c r="G18" s="65">
        <v>15985.47</v>
      </c>
      <c r="H18" s="99">
        <f t="shared" si="1"/>
        <v>0.027094050013077985</v>
      </c>
      <c r="J18" s="65">
        <f>IF(ISERROR(VLOOKUP(A18,'2009 Actual'!C17:L70,10,FALSE)),0,VLOOKUP(A18,'2009 Actual'!C17:L70,10,FALSE))</f>
        <v>23213.54</v>
      </c>
      <c r="K18" s="81">
        <f t="shared" si="3"/>
        <v>0.03673356641955704</v>
      </c>
      <c r="M18" s="111">
        <f>IF(ISERROR(VLOOKUP(A18,'2010 Budget'!C17:M70,10,FALSE)),0,VLOOKUP(A18,'2010 Budget'!C17:M70,10,FALSE))</f>
        <v>13500</v>
      </c>
      <c r="N18" s="81">
        <f>M18/$M$20</f>
        <v>0.02093542584206935</v>
      </c>
      <c r="P18" s="118">
        <f t="shared" si="4"/>
        <v>-9713.54</v>
      </c>
      <c r="Q18" s="90">
        <f t="shared" si="5"/>
        <v>-0.41844285705670053</v>
      </c>
    </row>
    <row r="19" spans="1:2" ht="12.75">
      <c r="A19" s="41"/>
      <c r="B19" s="37"/>
    </row>
    <row r="20" spans="1:17" s="33" customFormat="1" ht="13.5" thickBot="1">
      <c r="A20" s="58"/>
      <c r="B20" s="59" t="s">
        <v>28</v>
      </c>
      <c r="D20" s="66">
        <f>SUM(D5:D19)</f>
        <v>576571.83</v>
      </c>
      <c r="E20" s="100">
        <f>SUM(E5:E19)</f>
        <v>1</v>
      </c>
      <c r="F20" s="61"/>
      <c r="G20" s="66">
        <f>SUM(G5:G19)</f>
        <v>589999.2799999999</v>
      </c>
      <c r="H20" s="100">
        <f>SUM(H5:H19)</f>
        <v>1.0000000000000002</v>
      </c>
      <c r="I20" s="61"/>
      <c r="J20" s="66">
        <f>SUM(J5:J19)</f>
        <v>631943.54</v>
      </c>
      <c r="K20" s="82">
        <f>SUM(K5:K19)</f>
        <v>1</v>
      </c>
      <c r="L20" s="61"/>
      <c r="M20" s="112">
        <f>SUM(M5:M19)</f>
        <v>644840</v>
      </c>
      <c r="N20" s="82">
        <f>SUM(N5:N19)</f>
        <v>1</v>
      </c>
      <c r="O20" s="61"/>
      <c r="P20" s="119">
        <f>M20-J20</f>
        <v>12896.459999999963</v>
      </c>
      <c r="Q20" s="91">
        <f t="shared" si="5"/>
        <v>0.020407614262501934</v>
      </c>
    </row>
    <row r="21" ht="12.75">
      <c r="A21" s="38"/>
    </row>
    <row r="22" ht="12.75">
      <c r="A22" s="49" t="s">
        <v>29</v>
      </c>
    </row>
    <row r="23" ht="12.75">
      <c r="A23" s="60"/>
    </row>
    <row r="24" spans="1:17" s="162" customFormat="1" ht="12.75">
      <c r="A24" s="211">
        <v>4010</v>
      </c>
      <c r="B24" s="212" t="s">
        <v>72</v>
      </c>
      <c r="D24" s="213">
        <v>325270.95</v>
      </c>
      <c r="E24" s="214">
        <f aca="true" t="shared" si="6" ref="E24:E46">D24/$D$48</f>
        <v>0.5130809468916159</v>
      </c>
      <c r="G24" s="213">
        <v>325380.63</v>
      </c>
      <c r="H24" s="214">
        <f aca="true" t="shared" si="7" ref="H24:H46">G24/$G$48</f>
        <v>0.5230830653592133</v>
      </c>
      <c r="J24" s="213">
        <f>IF(ISERROR(VLOOKUP(A24,'2009 Actual'!C23:L76,10,FALSE)),0,VLOOKUP(A24,'2009 Actual'!C23:L76,10,FALSE))</f>
        <v>290242</v>
      </c>
      <c r="K24" s="215">
        <f>J24/$J$48</f>
        <v>0.4534811595063364</v>
      </c>
      <c r="M24" s="216">
        <f>IF(ISERROR(VLOOKUP(A24,'2010 Budget'!C23:M76,10,FALSE)),0,VLOOKUP(A24,'2010 Budget'!C23:M76,10,FALSE))</f>
        <v>277225</v>
      </c>
      <c r="N24" s="215">
        <f aca="true" t="shared" si="8" ref="N24:N46">M24/$M$48</f>
        <v>0.43330323509837765</v>
      </c>
      <c r="P24" s="217">
        <f>M24-J24</f>
        <v>-13017</v>
      </c>
      <c r="Q24" s="218">
        <f aca="true" t="shared" si="9" ref="Q24:Q50">(M24-J24)/J24</f>
        <v>-0.04484878136176019</v>
      </c>
    </row>
    <row r="25" spans="1:17" s="162" customFormat="1" ht="12.75">
      <c r="A25" s="211">
        <v>4030</v>
      </c>
      <c r="B25" s="212" t="s">
        <v>73</v>
      </c>
      <c r="D25" s="213">
        <v>22614.59</v>
      </c>
      <c r="E25" s="214">
        <f t="shared" si="6"/>
        <v>0.035672153479324446</v>
      </c>
      <c r="G25" s="213">
        <v>26091.89</v>
      </c>
      <c r="H25" s="214">
        <f t="shared" si="7"/>
        <v>0.04194541574959581</v>
      </c>
      <c r="J25" s="213">
        <f>IF(ISERROR(VLOOKUP(A25,'2009 Actual'!C24:L77,10,FALSE)),0,VLOOKUP(A25,'2009 Actual'!C24:L77,10,FALSE))</f>
        <v>33529</v>
      </c>
      <c r="K25" s="215">
        <f aca="true" t="shared" si="10" ref="K25:K46">J25/$J$48</f>
        <v>0.05238652502769397</v>
      </c>
      <c r="M25" s="216">
        <f>IF(ISERROR(VLOOKUP(A25,'2010 Budget'!C24:M77,10,FALSE)),0,VLOOKUP(A25,'2010 Budget'!C24:M77,10,FALSE))</f>
        <v>35520</v>
      </c>
      <c r="N25" s="215">
        <f t="shared" si="8"/>
        <v>0.05551783176370953</v>
      </c>
      <c r="P25" s="217">
        <f aca="true" t="shared" si="11" ref="P25:P46">M25-J25</f>
        <v>1991</v>
      </c>
      <c r="Q25" s="218">
        <f t="shared" si="9"/>
        <v>0.05938143100002982</v>
      </c>
    </row>
    <row r="26" spans="1:17" s="162" customFormat="1" ht="12.75">
      <c r="A26" s="211">
        <v>4040</v>
      </c>
      <c r="B26" s="212" t="s">
        <v>74</v>
      </c>
      <c r="D26" s="213">
        <v>20285.22</v>
      </c>
      <c r="E26" s="214">
        <f t="shared" si="6"/>
        <v>0.03199781562265165</v>
      </c>
      <c r="G26" s="213">
        <v>18511.44</v>
      </c>
      <c r="H26" s="214">
        <f t="shared" si="7"/>
        <v>0.029759057198374583</v>
      </c>
      <c r="J26" s="213">
        <f>IF(ISERROR(VLOOKUP(A26,'2009 Actual'!C25:L78,10,FALSE)),0,VLOOKUP(A26,'2009 Actual'!C25:L78,10,FALSE))</f>
        <v>14672</v>
      </c>
      <c r="K26" s="215">
        <f t="shared" si="10"/>
        <v>0.022923889624096333</v>
      </c>
      <c r="M26" s="216">
        <f>IF(ISERROR(VLOOKUP(A26,'2010 Budget'!C25:M78,10,FALSE)),0,VLOOKUP(A26,'2010 Budget'!C25:M78,10,FALSE))</f>
        <v>17545.1985</v>
      </c>
      <c r="N26" s="215">
        <f t="shared" si="8"/>
        <v>0.027423180703375245</v>
      </c>
      <c r="P26" s="217">
        <f t="shared" si="11"/>
        <v>2873.1984999999986</v>
      </c>
      <c r="Q26" s="218">
        <f t="shared" si="9"/>
        <v>0.1958286872955288</v>
      </c>
    </row>
    <row r="27" spans="1:17" s="162" customFormat="1" ht="12.75">
      <c r="A27" s="211">
        <v>4050</v>
      </c>
      <c r="B27" s="212" t="s">
        <v>75</v>
      </c>
      <c r="D27" s="213">
        <v>7870.66</v>
      </c>
      <c r="E27" s="214">
        <f t="shared" si="6"/>
        <v>0.012415144006748728</v>
      </c>
      <c r="G27" s="213">
        <v>12435.45</v>
      </c>
      <c r="H27" s="214">
        <f t="shared" si="7"/>
        <v>0.019991273927772623</v>
      </c>
      <c r="J27" s="213">
        <f>IF(ISERROR(VLOOKUP(A27,'2009 Actual'!C26:L79,10,FALSE)),0,VLOOKUP(A27,'2009 Actual'!C26:L79,10,FALSE))</f>
        <v>10087</v>
      </c>
      <c r="K27" s="215">
        <f t="shared" si="10"/>
        <v>0.015760174116566227</v>
      </c>
      <c r="M27" s="216">
        <f>IF(ISERROR(VLOOKUP(A27,'2010 Budget'!C26:M79,10,FALSE)),0,VLOOKUP(A27,'2010 Budget'!C26:M79,10,FALSE))</f>
        <v>12460.24</v>
      </c>
      <c r="N27" s="215">
        <f t="shared" si="8"/>
        <v>0.019475380294353715</v>
      </c>
      <c r="P27" s="217">
        <f t="shared" si="11"/>
        <v>2373.24</v>
      </c>
      <c r="Q27" s="218">
        <f t="shared" si="9"/>
        <v>0.23527708932289082</v>
      </c>
    </row>
    <row r="28" spans="1:17" s="162" customFormat="1" ht="12.75">
      <c r="A28" s="211">
        <v>4060</v>
      </c>
      <c r="B28" s="212" t="s">
        <v>76</v>
      </c>
      <c r="D28" s="213">
        <v>4143.89</v>
      </c>
      <c r="E28" s="214">
        <f t="shared" si="6"/>
        <v>0.00653655361788287</v>
      </c>
      <c r="G28" s="213">
        <v>431.98</v>
      </c>
      <c r="H28" s="214">
        <f t="shared" si="7"/>
        <v>0.0006944525941014775</v>
      </c>
      <c r="J28" s="213">
        <f>IF(ISERROR(VLOOKUP(A28,'2009 Actual'!C27:L80,10,FALSE)),0,VLOOKUP(A28,'2009 Actual'!C27:L80,10,FALSE))</f>
        <v>2300</v>
      </c>
      <c r="K28" s="215">
        <f t="shared" si="10"/>
        <v>0.003593575936165592</v>
      </c>
      <c r="M28" s="216">
        <f>IF(ISERROR(VLOOKUP(A28,'2010 Budget'!C27:M80,10,FALSE)),0,VLOOKUP(A28,'2010 Budget'!C27:M80,10,FALSE))</f>
        <v>12200</v>
      </c>
      <c r="N28" s="215">
        <f t="shared" si="8"/>
        <v>0.019068624648571404</v>
      </c>
      <c r="P28" s="217">
        <f t="shared" si="11"/>
        <v>9900</v>
      </c>
      <c r="Q28" s="218">
        <f t="shared" si="9"/>
        <v>4.304347826086956</v>
      </c>
    </row>
    <row r="29" spans="1:17" s="162" customFormat="1" ht="12.75">
      <c r="A29" s="211">
        <v>4100</v>
      </c>
      <c r="B29" s="212" t="s">
        <v>77</v>
      </c>
      <c r="D29" s="213">
        <v>4822.71</v>
      </c>
      <c r="E29" s="214">
        <f t="shared" si="6"/>
        <v>0.007607321260578803</v>
      </c>
      <c r="G29" s="213">
        <v>4866.09</v>
      </c>
      <c r="H29" s="214">
        <f t="shared" si="7"/>
        <v>0.007822743700243665</v>
      </c>
      <c r="J29" s="213">
        <f>IF(ISERROR(VLOOKUP(A29,'2009 Actual'!C28:L81,10,FALSE)),0,VLOOKUP(A29,'2009 Actual'!C28:L81,10,FALSE))</f>
        <v>6378</v>
      </c>
      <c r="K29" s="215">
        <f t="shared" si="10"/>
        <v>0.009965142313419193</v>
      </c>
      <c r="M29" s="216">
        <f>IF(ISERROR(VLOOKUP(A29,'2010 Budget'!C28:M81,10,FALSE)),0,VLOOKUP(A29,'2010 Budget'!C28:M81,10,FALSE))</f>
        <v>5250</v>
      </c>
      <c r="N29" s="215">
        <f t="shared" si="8"/>
        <v>0.008205760606967203</v>
      </c>
      <c r="P29" s="217">
        <f t="shared" si="11"/>
        <v>-1128</v>
      </c>
      <c r="Q29" s="218">
        <f t="shared" si="9"/>
        <v>-0.17685794920037629</v>
      </c>
    </row>
    <row r="30" spans="1:17" s="162" customFormat="1" ht="12.75">
      <c r="A30" s="211">
        <v>4150</v>
      </c>
      <c r="B30" s="212" t="s">
        <v>37</v>
      </c>
      <c r="D30" s="213">
        <v>16197.86</v>
      </c>
      <c r="E30" s="214">
        <f t="shared" si="6"/>
        <v>0.02555043217483095</v>
      </c>
      <c r="G30" s="213">
        <v>18953.12</v>
      </c>
      <c r="H30" s="214">
        <f t="shared" si="7"/>
        <v>0.03046910354719337</v>
      </c>
      <c r="J30" s="213">
        <f>IF(ISERROR(VLOOKUP(A30,'2009 Actual'!C29:L82,10,FALSE)),0,VLOOKUP(A30,'2009 Actual'!C29:L82,10,FALSE))</f>
        <v>21657</v>
      </c>
      <c r="K30" s="215">
        <f t="shared" si="10"/>
        <v>0.03383742349979923</v>
      </c>
      <c r="M30" s="216">
        <f>IF(ISERROR(VLOOKUP(A30,'2010 Budget'!C29:M82,10,FALSE)),0,VLOOKUP(A30,'2010 Budget'!C29:M82,10,FALSE))</f>
        <v>19540</v>
      </c>
      <c r="N30" s="215">
        <f t="shared" si="8"/>
        <v>0.03054105947812174</v>
      </c>
      <c r="P30" s="217">
        <f t="shared" si="11"/>
        <v>-2117</v>
      </c>
      <c r="Q30" s="218">
        <f t="shared" si="9"/>
        <v>-0.09775130442812947</v>
      </c>
    </row>
    <row r="31" spans="1:17" s="162" customFormat="1" ht="12.75">
      <c r="A31" s="211">
        <v>4200</v>
      </c>
      <c r="B31" s="212" t="s">
        <v>38</v>
      </c>
      <c r="D31" s="213">
        <v>2015.04</v>
      </c>
      <c r="E31" s="214">
        <f t="shared" si="6"/>
        <v>0.003178515115550533</v>
      </c>
      <c r="G31" s="213">
        <v>901.46</v>
      </c>
      <c r="H31" s="214">
        <f t="shared" si="7"/>
        <v>0.0014491903224193663</v>
      </c>
      <c r="J31" s="213">
        <f>IF(ISERROR(VLOOKUP(A31,'2009 Actual'!C30:L83,10,FALSE)),0,VLOOKUP(A31,'2009 Actual'!C30:L83,10,FALSE))</f>
        <v>433</v>
      </c>
      <c r="K31" s="215">
        <f t="shared" si="10"/>
        <v>0.0006765297305911745</v>
      </c>
      <c r="M31" s="216">
        <f>IF(ISERROR(VLOOKUP(A31,'2010 Budget'!C30:M83,10,FALSE)),0,VLOOKUP(A31,'2010 Budget'!C30:M83,10,FALSE))</f>
        <v>500</v>
      </c>
      <c r="N31" s="215">
        <f t="shared" si="8"/>
        <v>0.0007815010101873526</v>
      </c>
      <c r="P31" s="217">
        <f t="shared" si="11"/>
        <v>67</v>
      </c>
      <c r="Q31" s="218">
        <f t="shared" si="9"/>
        <v>0.15473441108545036</v>
      </c>
    </row>
    <row r="32" spans="1:17" s="162" customFormat="1" ht="12.75">
      <c r="A32" s="211">
        <v>4250</v>
      </c>
      <c r="B32" s="212" t="s">
        <v>78</v>
      </c>
      <c r="D32" s="213">
        <v>12351.84</v>
      </c>
      <c r="E32" s="214">
        <f t="shared" si="6"/>
        <v>0.01948373736742779</v>
      </c>
      <c r="G32" s="213">
        <v>5527.19</v>
      </c>
      <c r="H32" s="214">
        <f t="shared" si="7"/>
        <v>0.008885530426389518</v>
      </c>
      <c r="J32" s="213">
        <f>IF(ISERROR(VLOOKUP(A32,'2009 Actual'!C31:L84,10,FALSE)),0,VLOOKUP(A32,'2009 Actual'!C31:L84,10,FALSE))</f>
        <v>12078</v>
      </c>
      <c r="K32" s="215">
        <f t="shared" si="10"/>
        <v>0.018870960937829574</v>
      </c>
      <c r="M32" s="216">
        <f>IF(ISERROR(VLOOKUP(A32,'2010 Budget'!C31:M84,10,FALSE)),0,VLOOKUP(A32,'2010 Budget'!C31:M84,10,FALSE))</f>
        <v>12798</v>
      </c>
      <c r="N32" s="215">
        <f t="shared" si="8"/>
        <v>0.020003299856755478</v>
      </c>
      <c r="P32" s="217">
        <f t="shared" si="11"/>
        <v>720</v>
      </c>
      <c r="Q32" s="218">
        <f t="shared" si="9"/>
        <v>0.05961251862891207</v>
      </c>
    </row>
    <row r="33" spans="1:17" s="162" customFormat="1" ht="12.75">
      <c r="A33" s="211">
        <v>4400</v>
      </c>
      <c r="B33" s="212" t="s">
        <v>79</v>
      </c>
      <c r="D33" s="213">
        <v>2332.2</v>
      </c>
      <c r="E33" s="214">
        <f t="shared" si="6"/>
        <v>0.0036788018860603026</v>
      </c>
      <c r="G33" s="213">
        <v>1935.38</v>
      </c>
      <c r="H33" s="214">
        <f t="shared" si="7"/>
        <v>0.0031113238149268886</v>
      </c>
      <c r="J33" s="213">
        <f>IF(ISERROR(VLOOKUP(A33,'2009 Actual'!C32:L85,10,FALSE)),0,VLOOKUP(A33,'2009 Actual'!C32:L85,10,FALSE))</f>
        <v>2500</v>
      </c>
      <c r="K33" s="215">
        <f t="shared" si="10"/>
        <v>0.003906060800179991</v>
      </c>
      <c r="M33" s="216">
        <f>IF(ISERROR(VLOOKUP(A33,'2010 Budget'!C32:M85,10,FALSE)),0,VLOOKUP(A33,'2010 Budget'!C32:M85,10,FALSE))</f>
        <v>2800</v>
      </c>
      <c r="N33" s="215">
        <f t="shared" si="8"/>
        <v>0.0043764056570491745</v>
      </c>
      <c r="P33" s="217">
        <f t="shared" si="11"/>
        <v>300</v>
      </c>
      <c r="Q33" s="218">
        <f t="shared" si="9"/>
        <v>0.12</v>
      </c>
    </row>
    <row r="34" spans="1:17" s="162" customFormat="1" ht="12.75">
      <c r="A34" s="211">
        <v>4410</v>
      </c>
      <c r="B34" s="212" t="s">
        <v>80</v>
      </c>
      <c r="D34" s="213">
        <v>19156.06</v>
      </c>
      <c r="E34" s="214">
        <f t="shared" si="6"/>
        <v>0.030216683670990625</v>
      </c>
      <c r="G34" s="213">
        <v>21660.31</v>
      </c>
      <c r="H34" s="214">
        <f t="shared" si="7"/>
        <v>0.03482119188050876</v>
      </c>
      <c r="J34" s="213">
        <f>IF(ISERROR(VLOOKUP(A34,'2009 Actual'!C33:L86,10,FALSE)),0,VLOOKUP(A34,'2009 Actual'!C33:L86,10,FALSE))</f>
        <v>26530</v>
      </c>
      <c r="K34" s="215">
        <f t="shared" si="10"/>
        <v>0.04145111721151007</v>
      </c>
      <c r="M34" s="216">
        <f>IF(ISERROR(VLOOKUP(A34,'2010 Budget'!C33:M86,10,FALSE)),0,VLOOKUP(A34,'2010 Budget'!C33:M86,10,FALSE))</f>
        <v>44000</v>
      </c>
      <c r="N34" s="215">
        <f t="shared" si="8"/>
        <v>0.06877208889648703</v>
      </c>
      <c r="P34" s="217">
        <f t="shared" si="11"/>
        <v>17470</v>
      </c>
      <c r="Q34" s="218">
        <f t="shared" si="9"/>
        <v>0.6584998115341123</v>
      </c>
    </row>
    <row r="35" spans="1:17" s="162" customFormat="1" ht="12.75">
      <c r="A35" s="211">
        <v>4420</v>
      </c>
      <c r="B35" s="212" t="s">
        <v>81</v>
      </c>
      <c r="D35" s="213">
        <v>16914.8</v>
      </c>
      <c r="E35" s="214">
        <f t="shared" si="6"/>
        <v>0.026681330135637085</v>
      </c>
      <c r="G35" s="213">
        <v>14414.89</v>
      </c>
      <c r="H35" s="214">
        <f t="shared" si="7"/>
        <v>0.023173428756394845</v>
      </c>
      <c r="J35" s="213">
        <f>IF(ISERROR(VLOOKUP(A35,'2009 Actual'!C34:L87,10,FALSE)),0,VLOOKUP(A35,'2009 Actual'!C34:L87,10,FALSE))</f>
        <v>18533</v>
      </c>
      <c r="K35" s="215">
        <f t="shared" si="10"/>
        <v>0.02895640992389431</v>
      </c>
      <c r="M35" s="216">
        <f>IF(ISERROR(VLOOKUP(A35,'2010 Budget'!C34:M87,10,FALSE)),0,VLOOKUP(A35,'2010 Budget'!C34:M87,10,FALSE))</f>
        <v>18000</v>
      </c>
      <c r="N35" s="215">
        <f t="shared" si="8"/>
        <v>0.028134036366744695</v>
      </c>
      <c r="P35" s="217">
        <f t="shared" si="11"/>
        <v>-533</v>
      </c>
      <c r="Q35" s="218">
        <f t="shared" si="9"/>
        <v>-0.02875951006313063</v>
      </c>
    </row>
    <row r="36" spans="1:17" s="162" customFormat="1" ht="12.75">
      <c r="A36" s="211">
        <v>4430</v>
      </c>
      <c r="B36" s="212" t="s">
        <v>82</v>
      </c>
      <c r="D36" s="213">
        <v>1594.77</v>
      </c>
      <c r="E36" s="214">
        <f t="shared" si="6"/>
        <v>0.002515583090572159</v>
      </c>
      <c r="G36" s="213">
        <v>1464</v>
      </c>
      <c r="H36" s="214">
        <f t="shared" si="7"/>
        <v>0.0023535316398087015</v>
      </c>
      <c r="J36" s="213">
        <f>IF(ISERROR(VLOOKUP(A36,'2009 Actual'!C35:L88,10,FALSE)),0,VLOOKUP(A36,'2009 Actual'!C35:L88,10,FALSE))</f>
        <v>3566</v>
      </c>
      <c r="K36" s="215">
        <f t="shared" si="10"/>
        <v>0.00557160512537674</v>
      </c>
      <c r="M36" s="216">
        <f>IF(ISERROR(VLOOKUP(A36,'2010 Budget'!C35:M88,10,FALSE)),0,VLOOKUP(A36,'2010 Budget'!C35:M88,10,FALSE))</f>
        <v>2630</v>
      </c>
      <c r="N36" s="215">
        <f t="shared" si="8"/>
        <v>0.004110695313585475</v>
      </c>
      <c r="P36" s="217">
        <f t="shared" si="11"/>
        <v>-936</v>
      </c>
      <c r="Q36" s="218">
        <f t="shared" si="9"/>
        <v>-0.26247896803140774</v>
      </c>
    </row>
    <row r="37" spans="1:17" s="162" customFormat="1" ht="12.75">
      <c r="A37" s="211">
        <v>4450</v>
      </c>
      <c r="B37" s="212" t="s">
        <v>45</v>
      </c>
      <c r="D37" s="213">
        <v>54333.27</v>
      </c>
      <c r="E37" s="214">
        <f t="shared" si="6"/>
        <v>0.08570505795035746</v>
      </c>
      <c r="G37" s="213">
        <v>39109.44</v>
      </c>
      <c r="H37" s="214">
        <f t="shared" si="7"/>
        <v>0.06287247572076504</v>
      </c>
      <c r="J37" s="213">
        <f>IF(ISERROR(VLOOKUP(A37,'2009 Actual'!C36:L89,10,FALSE)),0,VLOOKUP(A37,'2009 Actual'!C36:L89,10,FALSE))</f>
        <v>38235</v>
      </c>
      <c r="K37" s="215">
        <f t="shared" si="10"/>
        <v>0.059739293877952786</v>
      </c>
      <c r="M37" s="216">
        <f>IF(ISERROR(VLOOKUP(A37,'2010 Budget'!C36:M89,10,FALSE)),0,VLOOKUP(A37,'2010 Budget'!C36:M89,10,FALSE))</f>
        <v>26970</v>
      </c>
      <c r="N37" s="215">
        <f t="shared" si="8"/>
        <v>0.0421541644895058</v>
      </c>
      <c r="P37" s="217">
        <f t="shared" si="11"/>
        <v>-11265</v>
      </c>
      <c r="Q37" s="218">
        <f t="shared" si="9"/>
        <v>-0.29462534327187134</v>
      </c>
    </row>
    <row r="38" spans="1:17" s="162" customFormat="1" ht="12.75">
      <c r="A38" s="211">
        <v>4550</v>
      </c>
      <c r="B38" s="212" t="s">
        <v>83</v>
      </c>
      <c r="D38" s="213">
        <v>8616.02</v>
      </c>
      <c r="E38" s="214">
        <f t="shared" si="6"/>
        <v>0.013590871548895161</v>
      </c>
      <c r="G38" s="213">
        <v>6341.47</v>
      </c>
      <c r="H38" s="214">
        <f t="shared" si="7"/>
        <v>0.010194569868782572</v>
      </c>
      <c r="J38" s="213">
        <f>IF(ISERROR(VLOOKUP(A38,'2009 Actual'!C37:L90,10,FALSE)),0,VLOOKUP(A38,'2009 Actual'!C37:L90,10,FALSE))</f>
        <v>0</v>
      </c>
      <c r="K38" s="215">
        <f t="shared" si="10"/>
        <v>0</v>
      </c>
      <c r="M38" s="216">
        <f>IF(ISERROR(VLOOKUP(A38,'2010 Budget'!C37:M90,10,FALSE)),0,VLOOKUP(A38,'2010 Budget'!C37:M90,10,FALSE))</f>
        <v>0</v>
      </c>
      <c r="N38" s="215">
        <f t="shared" si="8"/>
        <v>0</v>
      </c>
      <c r="P38" s="217">
        <f t="shared" si="11"/>
        <v>0</v>
      </c>
      <c r="Q38" s="218"/>
    </row>
    <row r="39" spans="1:17" s="162" customFormat="1" ht="12.75">
      <c r="A39" s="211">
        <v>4600</v>
      </c>
      <c r="B39" s="212" t="s">
        <v>47</v>
      </c>
      <c r="D39" s="213">
        <v>0</v>
      </c>
      <c r="E39" s="214">
        <f t="shared" si="6"/>
        <v>0</v>
      </c>
      <c r="G39" s="213">
        <v>0</v>
      </c>
      <c r="H39" s="214">
        <f t="shared" si="7"/>
        <v>0</v>
      </c>
      <c r="J39" s="213">
        <f>IF(ISERROR(VLOOKUP(A39,'2009 Actual'!C38:L91,10,FALSE)),0,VLOOKUP(A39,'2009 Actual'!C38:L91,10,FALSE))</f>
        <v>3353</v>
      </c>
      <c r="K39" s="215">
        <f t="shared" si="10"/>
        <v>0.005238808745201404</v>
      </c>
      <c r="M39" s="216">
        <f>IF(ISERROR(VLOOKUP(A39,'2010 Budget'!C38:M91,10,FALSE)),0,VLOOKUP(A39,'2010 Budget'!C38:M91,10,FALSE))</f>
        <v>0</v>
      </c>
      <c r="N39" s="215">
        <f t="shared" si="8"/>
        <v>0</v>
      </c>
      <c r="P39" s="217">
        <f t="shared" si="11"/>
        <v>-3353</v>
      </c>
      <c r="Q39" s="218">
        <f t="shared" si="9"/>
        <v>-1</v>
      </c>
    </row>
    <row r="40" spans="1:17" s="162" customFormat="1" ht="12.75">
      <c r="A40" s="211">
        <v>4650</v>
      </c>
      <c r="B40" s="212" t="s">
        <v>48</v>
      </c>
      <c r="D40" s="213">
        <v>11177.23</v>
      </c>
      <c r="E40" s="214">
        <f t="shared" si="6"/>
        <v>0.017630912788324245</v>
      </c>
      <c r="G40" s="213">
        <v>9463.96</v>
      </c>
      <c r="H40" s="214">
        <f t="shared" si="7"/>
        <v>0.01521429596849997</v>
      </c>
      <c r="J40" s="213">
        <f>IF(ISERROR(VLOOKUP(A40,'2009 Actual'!C39:L92,10,FALSE)),0,VLOOKUP(A40,'2009 Actual'!C39:L92,10,FALSE))</f>
        <v>15801</v>
      </c>
      <c r="K40" s="215">
        <f t="shared" si="10"/>
        <v>0.024687866681457615</v>
      </c>
      <c r="M40" s="216">
        <f>IF(ISERROR(VLOOKUP(A40,'2010 Budget'!C39:M92,10,FALSE)),0,VLOOKUP(A40,'2010 Budget'!C39:M92,10,FALSE))</f>
        <v>13100</v>
      </c>
      <c r="N40" s="215">
        <f t="shared" si="8"/>
        <v>0.02047532646690864</v>
      </c>
      <c r="P40" s="217">
        <f t="shared" si="11"/>
        <v>-2701</v>
      </c>
      <c r="Q40" s="218">
        <f t="shared" si="9"/>
        <v>-0.17093854819315232</v>
      </c>
    </row>
    <row r="41" spans="1:17" s="162" customFormat="1" ht="12.75">
      <c r="A41" s="211">
        <v>4700</v>
      </c>
      <c r="B41" s="212" t="s">
        <v>49</v>
      </c>
      <c r="D41" s="213">
        <v>8667.57</v>
      </c>
      <c r="E41" s="214">
        <f t="shared" si="6"/>
        <v>0.013672186289151745</v>
      </c>
      <c r="G41" s="213">
        <v>9075.3</v>
      </c>
      <c r="H41" s="214">
        <f t="shared" si="7"/>
        <v>0.014589484761445292</v>
      </c>
      <c r="J41" s="213">
        <f>IF(ISERROR(VLOOKUP(A41,'2009 Actual'!C40:L93,10,FALSE)),0,VLOOKUP(A41,'2009 Actual'!C40:L93,10,FALSE))</f>
        <v>14924</v>
      </c>
      <c r="K41" s="215">
        <f t="shared" si="10"/>
        <v>0.023317620552754475</v>
      </c>
      <c r="M41" s="216">
        <f>IF(ISERROR(VLOOKUP(A41,'2010 Budget'!C40:M93,10,FALSE)),0,VLOOKUP(A41,'2010 Budget'!C40:M93,10,FALSE))</f>
        <v>11830</v>
      </c>
      <c r="N41" s="215">
        <f t="shared" si="8"/>
        <v>0.018490313901032764</v>
      </c>
      <c r="P41" s="217">
        <f t="shared" si="11"/>
        <v>-3094</v>
      </c>
      <c r="Q41" s="218">
        <f t="shared" si="9"/>
        <v>-0.2073170731707317</v>
      </c>
    </row>
    <row r="42" spans="1:17" s="162" customFormat="1" ht="12.75">
      <c r="A42" s="211">
        <v>4750</v>
      </c>
      <c r="B42" s="212" t="s">
        <v>50</v>
      </c>
      <c r="D42" s="213">
        <v>42384</v>
      </c>
      <c r="E42" s="214">
        <f t="shared" si="6"/>
        <v>0.06685633270679182</v>
      </c>
      <c r="G42" s="213">
        <v>42834</v>
      </c>
      <c r="H42" s="214">
        <f t="shared" si="7"/>
        <v>0.06886009170735377</v>
      </c>
      <c r="J42" s="213">
        <f>IF(ISERROR(VLOOKUP(A42,'2009 Actual'!C41:L94,10,FALSE)),0,VLOOKUP(A42,'2009 Actual'!C41:L94,10,FALSE))</f>
        <v>56070</v>
      </c>
      <c r="K42" s="215">
        <f t="shared" si="10"/>
        <v>0.08760513162643685</v>
      </c>
      <c r="M42" s="216">
        <f>IF(ISERROR(VLOOKUP(A42,'2010 Budget'!C41:M94,10,FALSE)),0,VLOOKUP(A42,'2010 Budget'!C41:M94,10,FALSE))</f>
        <v>56100</v>
      </c>
      <c r="N42" s="215">
        <f t="shared" si="8"/>
        <v>0.08768441334302096</v>
      </c>
      <c r="P42" s="217">
        <f t="shared" si="11"/>
        <v>30</v>
      </c>
      <c r="Q42" s="218">
        <f t="shared" si="9"/>
        <v>0.0005350454788657035</v>
      </c>
    </row>
    <row r="43" spans="1:17" s="162" customFormat="1" ht="12.75">
      <c r="A43" s="211">
        <v>4760</v>
      </c>
      <c r="B43" s="212" t="s">
        <v>51</v>
      </c>
      <c r="D43" s="213">
        <v>15578.75</v>
      </c>
      <c r="E43" s="214">
        <f t="shared" si="6"/>
        <v>0.024573850820024848</v>
      </c>
      <c r="G43" s="213">
        <v>18500</v>
      </c>
      <c r="H43" s="214">
        <f t="shared" si="7"/>
        <v>0.02974066621342963</v>
      </c>
      <c r="J43" s="213">
        <f>IF(ISERROR(VLOOKUP(A43,'2009 Actual'!C42:L95,10,FALSE)),0,VLOOKUP(A43,'2009 Actual'!C42:L95,10,FALSE))</f>
        <v>12000</v>
      </c>
      <c r="K43" s="215">
        <f t="shared" si="10"/>
        <v>0.018749091840863957</v>
      </c>
      <c r="M43" s="216">
        <f>IF(ISERROR(VLOOKUP(A43,'2010 Budget'!C42:M95,10,FALSE)),0,VLOOKUP(A43,'2010 Budget'!C42:M95,10,FALSE))</f>
        <v>27543</v>
      </c>
      <c r="N43" s="215">
        <f t="shared" si="8"/>
        <v>0.04304976464718051</v>
      </c>
      <c r="P43" s="217">
        <f t="shared" si="11"/>
        <v>15543</v>
      </c>
      <c r="Q43" s="218">
        <f t="shared" si="9"/>
        <v>1.29525</v>
      </c>
    </row>
    <row r="44" spans="1:17" s="162" customFormat="1" ht="12.75">
      <c r="A44" s="211">
        <v>4780</v>
      </c>
      <c r="B44" s="212" t="s">
        <v>84</v>
      </c>
      <c r="D44" s="213">
        <v>22691</v>
      </c>
      <c r="E44" s="214">
        <f t="shared" si="6"/>
        <v>0.035792682272787216</v>
      </c>
      <c r="G44" s="213">
        <v>17193</v>
      </c>
      <c r="H44" s="214">
        <f t="shared" si="7"/>
        <v>0.027639528335540304</v>
      </c>
      <c r="J44" s="213">
        <f>IF(ISERROR(VLOOKUP(A44,'2009 Actual'!C43:L96,10,FALSE)),0,VLOOKUP(A44,'2009 Actual'!C43:L96,10,FALSE))</f>
        <v>22659</v>
      </c>
      <c r="K44" s="215">
        <f t="shared" si="10"/>
        <v>0.03540297266851137</v>
      </c>
      <c r="M44" s="216">
        <f>IF(ISERROR(VLOOKUP(A44,'2010 Budget'!C43:M96,10,FALSE)),0,VLOOKUP(A44,'2010 Budget'!C43:M96,10,FALSE))</f>
        <v>22353</v>
      </c>
      <c r="N44" s="215">
        <f t="shared" si="8"/>
        <v>0.03493778416143579</v>
      </c>
      <c r="P44" s="217">
        <f t="shared" si="11"/>
        <v>-306</v>
      </c>
      <c r="Q44" s="218">
        <f t="shared" si="9"/>
        <v>-0.013504567721435191</v>
      </c>
    </row>
    <row r="45" spans="1:17" s="162" customFormat="1" ht="12.75">
      <c r="A45" s="211">
        <v>4790</v>
      </c>
      <c r="B45" s="212" t="s">
        <v>85</v>
      </c>
      <c r="D45" s="213">
        <v>1000</v>
      </c>
      <c r="E45" s="214">
        <f t="shared" si="6"/>
        <v>0.0015773955432897278</v>
      </c>
      <c r="G45" s="213">
        <v>0</v>
      </c>
      <c r="H45" s="214">
        <f t="shared" si="7"/>
        <v>0</v>
      </c>
      <c r="J45" s="213">
        <f>IF(ISERROR(VLOOKUP(A45,'2009 Actual'!C44:L97,10,FALSE)),0,VLOOKUP(A45,'2009 Actual'!C44:L97,10,FALSE))</f>
        <v>1000</v>
      </c>
      <c r="K45" s="215">
        <f t="shared" si="10"/>
        <v>0.0015624243200719964</v>
      </c>
      <c r="M45" s="216">
        <f>IF(ISERROR(VLOOKUP(A45,'2010 Budget'!C44:M97,10,FALSE)),0,VLOOKUP(A45,'2010 Budget'!C44:M97,10,FALSE))</f>
        <v>1050</v>
      </c>
      <c r="N45" s="215">
        <f t="shared" si="8"/>
        <v>0.0016411521213934405</v>
      </c>
      <c r="P45" s="217">
        <f t="shared" si="11"/>
        <v>50</v>
      </c>
      <c r="Q45" s="218">
        <f t="shared" si="9"/>
        <v>0.05</v>
      </c>
    </row>
    <row r="46" spans="1:17" s="162" customFormat="1" ht="12.75">
      <c r="A46" s="211">
        <v>4800</v>
      </c>
      <c r="B46" s="212" t="s">
        <v>86</v>
      </c>
      <c r="D46" s="213">
        <v>13937.97</v>
      </c>
      <c r="E46" s="214">
        <f t="shared" si="6"/>
        <v>0.021985691760505927</v>
      </c>
      <c r="G46" s="213">
        <v>26952.9</v>
      </c>
      <c r="H46" s="214">
        <f t="shared" si="7"/>
        <v>0.0433295785072404</v>
      </c>
      <c r="J46" s="213">
        <f>IF(ISERROR(VLOOKUP(A46,'2009 Actual'!C45:L98,10,FALSE)),0,VLOOKUP(A46,'2009 Actual'!C45:L98,10,FALSE))</f>
        <v>33484</v>
      </c>
      <c r="K46" s="215">
        <f t="shared" si="10"/>
        <v>0.05231621593329073</v>
      </c>
      <c r="M46" s="216">
        <f>IF(ISERROR(VLOOKUP(A46,'2010 Budget'!C45:M98,10,FALSE)),0,VLOOKUP(A46,'2010 Budget'!C45:M98,10,FALSE))</f>
        <v>20380</v>
      </c>
      <c r="N46" s="215">
        <f t="shared" si="8"/>
        <v>0.031853981175236495</v>
      </c>
      <c r="P46" s="217">
        <f t="shared" si="11"/>
        <v>-13104</v>
      </c>
      <c r="Q46" s="218">
        <f t="shared" si="9"/>
        <v>-0.39135109305937166</v>
      </c>
    </row>
    <row r="48" spans="2:17" s="33" customFormat="1" ht="13.5" thickBot="1">
      <c r="B48" s="59" t="s">
        <v>55</v>
      </c>
      <c r="C48" s="58"/>
      <c r="D48" s="66">
        <f>SUM(D24:D47)</f>
        <v>633956.4</v>
      </c>
      <c r="E48" s="100">
        <f>SUM(E24:E47)</f>
        <v>1.0000000000000002</v>
      </c>
      <c r="F48" s="57"/>
      <c r="G48" s="66">
        <f>SUM(G24:G47)</f>
        <v>622043.9</v>
      </c>
      <c r="H48" s="100">
        <f>SUM(H24:H47)</f>
        <v>0.9999999999999999</v>
      </c>
      <c r="I48" s="57"/>
      <c r="J48" s="66">
        <f>SUM(J24:J47)</f>
        <v>640031</v>
      </c>
      <c r="K48" s="82">
        <f>SUM(K24:K47)</f>
        <v>0.9999999999999998</v>
      </c>
      <c r="L48" s="57"/>
      <c r="M48" s="112">
        <f>SUM(M24:M47)</f>
        <v>639794.4384999999</v>
      </c>
      <c r="N48" s="82">
        <f>SUM(N24:N47)</f>
        <v>1</v>
      </c>
      <c r="O48" s="57"/>
      <c r="P48" s="119">
        <f>M48-J48</f>
        <v>-236.56150000006892</v>
      </c>
      <c r="Q48" s="91">
        <f t="shared" si="9"/>
        <v>-0.00036960944079281926</v>
      </c>
    </row>
    <row r="49" spans="3:15" ht="12.75">
      <c r="C49" s="38"/>
      <c r="D49" s="67"/>
      <c r="E49" s="101"/>
      <c r="F49" s="50"/>
      <c r="G49" s="67"/>
      <c r="H49" s="101"/>
      <c r="I49" s="50"/>
      <c r="L49" s="50"/>
      <c r="O49" s="50"/>
    </row>
    <row r="50" spans="2:17" s="54" customFormat="1" ht="13.5" thickBot="1">
      <c r="B50" s="30" t="s">
        <v>121</v>
      </c>
      <c r="C50" s="56"/>
      <c r="D50" s="68">
        <f>D20-D48</f>
        <v>-57384.570000000065</v>
      </c>
      <c r="E50" s="102"/>
      <c r="F50" s="55"/>
      <c r="G50" s="68">
        <f>G20-G48</f>
        <v>-32044.62000000011</v>
      </c>
      <c r="H50" s="102"/>
      <c r="I50" s="55"/>
      <c r="J50" s="68">
        <f>J20-J48</f>
        <v>-8087.459999999963</v>
      </c>
      <c r="K50" s="83"/>
      <c r="L50" s="55"/>
      <c r="M50" s="113">
        <f>M20-M48</f>
        <v>5045.561500000069</v>
      </c>
      <c r="N50" s="83"/>
      <c r="O50" s="55"/>
      <c r="P50" s="120">
        <f>M50-J50</f>
        <v>13133.021500000032</v>
      </c>
      <c r="Q50" s="92">
        <f t="shared" si="9"/>
        <v>-1.6238746775872885</v>
      </c>
    </row>
    <row r="51" ht="13.5" thickTop="1"/>
    <row r="52" spans="1:15" ht="12.75">
      <c r="A52" s="49" t="s">
        <v>120</v>
      </c>
      <c r="C52" s="47"/>
      <c r="D52" s="69"/>
      <c r="E52" s="103"/>
      <c r="F52" s="46"/>
      <c r="G52" s="69"/>
      <c r="H52" s="103"/>
      <c r="I52" s="46"/>
      <c r="K52" s="84"/>
      <c r="L52" s="46"/>
      <c r="N52" s="84"/>
      <c r="O52" s="46"/>
    </row>
    <row r="53" spans="1:15" ht="12.75">
      <c r="A53" s="48"/>
      <c r="C53" s="47"/>
      <c r="D53" s="69"/>
      <c r="E53" s="103"/>
      <c r="F53" s="46"/>
      <c r="G53" s="69"/>
      <c r="H53" s="103"/>
      <c r="I53" s="46"/>
      <c r="K53" s="84"/>
      <c r="L53" s="46"/>
      <c r="N53" s="84"/>
      <c r="O53" s="46"/>
    </row>
    <row r="54" spans="1:14" ht="12.75">
      <c r="A54" s="41">
        <v>5000</v>
      </c>
      <c r="B54" s="37" t="s">
        <v>119</v>
      </c>
      <c r="J54" s="65">
        <v>0</v>
      </c>
      <c r="K54" s="84"/>
      <c r="M54" s="111">
        <f>IF(ISERROR(VLOOKUP(A54,'[1]Budget (Revised)'!A:G,6,FALSE)),0,VLOOKUP(A54,'[1]Budget (Revised)'!A:G,6,FALSE))</f>
        <v>0</v>
      </c>
      <c r="N54" s="84"/>
    </row>
    <row r="55" spans="1:14" ht="12.75">
      <c r="A55" s="41">
        <v>5010</v>
      </c>
      <c r="B55" s="37" t="s">
        <v>118</v>
      </c>
      <c r="J55" s="65">
        <v>600</v>
      </c>
      <c r="K55" s="84"/>
      <c r="M55" s="111">
        <f>IF(ISERROR(VLOOKUP(A55,'[1]Budget (Revised)'!A:G,6,FALSE)),0,VLOOKUP(A55,'[1]Budget (Revised)'!A:G,6,FALSE))</f>
        <v>10000</v>
      </c>
      <c r="N55" s="84"/>
    </row>
    <row r="56" spans="1:14" ht="12.75">
      <c r="A56" s="41">
        <v>5020</v>
      </c>
      <c r="B56" s="37" t="s">
        <v>117</v>
      </c>
      <c r="J56" s="65">
        <f>'[2]Sharing Page 9'!H83</f>
        <v>0</v>
      </c>
      <c r="K56" s="84"/>
      <c r="M56" s="111">
        <f>IF(ISERROR(VLOOKUP(A56,'[1]Budget (Revised)'!A:G,6,FALSE)),0,VLOOKUP(A56,'[1]Budget (Revised)'!A:G,6,FALSE))</f>
        <v>0</v>
      </c>
      <c r="N56" s="84"/>
    </row>
    <row r="57" spans="1:14" ht="12.75">
      <c r="A57" s="41">
        <v>5030</v>
      </c>
      <c r="B57" s="37" t="s">
        <v>116</v>
      </c>
      <c r="J57" s="65">
        <v>19102</v>
      </c>
      <c r="K57" s="84"/>
      <c r="M57" s="111">
        <f>IF(ISERROR(VLOOKUP(A57,'[1]Budget (Revised)'!A:G,6,FALSE)),0,VLOOKUP(A57,'[1]Budget (Revised)'!A:G,6,FALSE))</f>
        <v>15000</v>
      </c>
      <c r="N57" s="84"/>
    </row>
    <row r="58" spans="1:14" ht="12.75">
      <c r="A58" s="41">
        <v>5050</v>
      </c>
      <c r="B58" s="37" t="s">
        <v>115</v>
      </c>
      <c r="J58" s="65">
        <v>990</v>
      </c>
      <c r="K58" s="84"/>
      <c r="M58" s="111">
        <f>IF(ISERROR(VLOOKUP(A58,'[1]Budget (Revised)'!A:G,6,FALSE)),0,VLOOKUP(A58,'[1]Budget (Revised)'!A:G,6,FALSE))</f>
        <v>2750</v>
      </c>
      <c r="N58" s="84"/>
    </row>
    <row r="59" spans="1:14" ht="12.75">
      <c r="A59" s="41">
        <v>5110</v>
      </c>
      <c r="B59" s="37" t="s">
        <v>128</v>
      </c>
      <c r="J59" s="65">
        <v>0</v>
      </c>
      <c r="K59" s="84"/>
      <c r="M59" s="111">
        <f>IF(ISERROR(VLOOKUP(A59,'[1]Budget (Revised)'!A:G,6,FALSE)),0,VLOOKUP(A59,'[1]Budget (Revised)'!A:G,6,FALSE))</f>
        <v>0</v>
      </c>
      <c r="N59" s="84"/>
    </row>
    <row r="60" spans="1:14" ht="12.75">
      <c r="A60" s="41">
        <v>5111</v>
      </c>
      <c r="B60" s="37" t="s">
        <v>114</v>
      </c>
      <c r="J60" s="65">
        <v>0</v>
      </c>
      <c r="K60" s="84"/>
      <c r="M60" s="111">
        <f>IF(ISERROR(VLOOKUP(A60,'[1]Budget (Revised)'!A:G,6,FALSE)),0,VLOOKUP(A60,'[1]Budget (Revised)'!A:G,6,FALSE))</f>
        <v>0</v>
      </c>
      <c r="N60" s="84"/>
    </row>
    <row r="61" spans="1:14" ht="12.75">
      <c r="A61" s="41">
        <v>5112</v>
      </c>
      <c r="B61" s="37" t="s">
        <v>113</v>
      </c>
      <c r="J61" s="65">
        <f>IF(ISERROR(VLOOKUP(A61,'[1]2009 Budget'!$A:$XFD,16,FALSE)),0,VLOOKUP(A61,'[1]2009 Budget'!$A:$XFD,16,FALSE))</f>
        <v>0</v>
      </c>
      <c r="K61" s="84"/>
      <c r="M61" s="111">
        <f>IF(ISERROR(VLOOKUP(A61,'[1]Budget (Revised)'!A:G,6,FALSE)),0,VLOOKUP(A61,'[1]Budget (Revised)'!A:G,6,FALSE))</f>
        <v>0</v>
      </c>
      <c r="N61" s="84"/>
    </row>
    <row r="62" spans="1:14" ht="12.75">
      <c r="A62" s="41">
        <v>5113</v>
      </c>
      <c r="B62" s="37" t="s">
        <v>112</v>
      </c>
      <c r="J62" s="65">
        <f>IF(ISERROR(VLOOKUP(A62,'[1]2009 Budget'!$A:$XFD,16,FALSE)),0,VLOOKUP(A62,'[1]2009 Budget'!$A:$XFD,16,FALSE))</f>
        <v>0</v>
      </c>
      <c r="K62" s="84"/>
      <c r="M62" s="111">
        <f>IF(ISERROR(VLOOKUP(A62,'[1]Budget (Revised)'!A:G,6,FALSE)),0,VLOOKUP(A62,'[1]Budget (Revised)'!A:G,6,FALSE))</f>
        <v>0</v>
      </c>
      <c r="N62" s="84"/>
    </row>
    <row r="63" spans="1:14" ht="12.75">
      <c r="A63" s="41">
        <v>5114</v>
      </c>
      <c r="B63" s="37" t="s">
        <v>111</v>
      </c>
      <c r="J63" s="65">
        <f>IF(ISERROR(VLOOKUP(A63,'[1]2009 Budget'!$A:$XFD,16,FALSE)),0,VLOOKUP(A63,'[1]2009 Budget'!$A:$XFD,16,FALSE))</f>
        <v>0</v>
      </c>
      <c r="K63" s="84"/>
      <c r="M63" s="111">
        <f>IF(ISERROR(VLOOKUP(A63,'[1]Budget (Revised)'!A:G,6,FALSE)),0,VLOOKUP(A63,'[1]Budget (Revised)'!A:G,6,FALSE))</f>
        <v>0</v>
      </c>
      <c r="N63" s="84"/>
    </row>
    <row r="64" spans="1:15" ht="12.75">
      <c r="A64" s="41">
        <v>5060</v>
      </c>
      <c r="B64" s="37" t="s">
        <v>110</v>
      </c>
      <c r="C64" s="41"/>
      <c r="D64" s="69"/>
      <c r="E64" s="103"/>
      <c r="F64" s="40"/>
      <c r="G64" s="69"/>
      <c r="H64" s="103"/>
      <c r="I64" s="40"/>
      <c r="J64" s="65">
        <v>141270</v>
      </c>
      <c r="K64" s="84"/>
      <c r="L64" s="40"/>
      <c r="M64" s="111">
        <f>IF(ISERROR(VLOOKUP(A64,'[1]Budget (Revised)'!A:G,6,FALSE)),0,VLOOKUP(A64,'[1]Budget (Revised)'!A:G,6,FALSE))</f>
        <v>5000</v>
      </c>
      <c r="N64" s="84"/>
      <c r="O64" s="40"/>
    </row>
    <row r="65" spans="1:15" ht="12.75">
      <c r="A65" s="41"/>
      <c r="B65" s="37"/>
      <c r="C65" s="41"/>
      <c r="D65" s="69"/>
      <c r="E65" s="103"/>
      <c r="F65" s="40"/>
      <c r="G65" s="69"/>
      <c r="H65" s="103"/>
      <c r="I65" s="40"/>
      <c r="K65" s="84"/>
      <c r="L65" s="40"/>
      <c r="N65" s="84"/>
      <c r="O65" s="40"/>
    </row>
    <row r="66" spans="2:17" s="51" customFormat="1" ht="13.5" thickBot="1">
      <c r="B66" s="45" t="s">
        <v>109</v>
      </c>
      <c r="C66" s="53"/>
      <c r="D66" s="70"/>
      <c r="E66" s="104"/>
      <c r="F66" s="52"/>
      <c r="G66" s="70"/>
      <c r="H66" s="104"/>
      <c r="I66" s="52"/>
      <c r="J66" s="74">
        <f>SUM(J54:J64)</f>
        <v>161962</v>
      </c>
      <c r="K66" s="85"/>
      <c r="L66" s="52"/>
      <c r="M66" s="114">
        <f>SUM(M54:M64)</f>
        <v>32750</v>
      </c>
      <c r="N66" s="85"/>
      <c r="O66" s="52"/>
      <c r="P66" s="121"/>
      <c r="Q66" s="93"/>
    </row>
    <row r="67" spans="3:15" ht="12.75">
      <c r="C67" s="38"/>
      <c r="D67" s="67"/>
      <c r="E67" s="101"/>
      <c r="F67" s="50"/>
      <c r="G67" s="67"/>
      <c r="H67" s="101"/>
      <c r="I67" s="50"/>
      <c r="K67" s="84"/>
      <c r="L67" s="50"/>
      <c r="N67" s="84"/>
      <c r="O67" s="50"/>
    </row>
    <row r="68" spans="1:15" ht="12.75">
      <c r="A68" s="49" t="s">
        <v>108</v>
      </c>
      <c r="C68" s="47"/>
      <c r="D68" s="69"/>
      <c r="E68" s="103"/>
      <c r="F68" s="46"/>
      <c r="G68" s="69"/>
      <c r="H68" s="103"/>
      <c r="I68" s="46"/>
      <c r="K68" s="84"/>
      <c r="L68" s="46"/>
      <c r="N68" s="84"/>
      <c r="O68" s="46"/>
    </row>
    <row r="69" spans="2:15" ht="12.75">
      <c r="B69" s="48"/>
      <c r="C69" s="47"/>
      <c r="D69" s="69"/>
      <c r="E69" s="103"/>
      <c r="F69" s="46"/>
      <c r="G69" s="69"/>
      <c r="H69" s="103"/>
      <c r="I69" s="46"/>
      <c r="K69" s="84"/>
      <c r="L69" s="46"/>
      <c r="N69" s="84"/>
      <c r="O69" s="46"/>
    </row>
    <row r="70" spans="1:14" ht="12.75">
      <c r="A70" s="41">
        <v>6000</v>
      </c>
      <c r="B70" s="37" t="s">
        <v>107</v>
      </c>
      <c r="J70" s="65">
        <v>0</v>
      </c>
      <c r="K70" s="84"/>
      <c r="M70" s="111">
        <f>IF(ISERROR(VLOOKUP(A70,'[1]Budget (Revised)'!A:G,6,FALSE)),0,VLOOKUP(A70,'[1]Budget (Revised)'!A:G,6,FALSE))</f>
        <v>0</v>
      </c>
      <c r="N70" s="84"/>
    </row>
    <row r="71" spans="1:14" ht="12.75">
      <c r="A71" s="41">
        <v>6010</v>
      </c>
      <c r="B71" s="37" t="s">
        <v>106</v>
      </c>
      <c r="J71" s="65">
        <v>590</v>
      </c>
      <c r="K71" s="84"/>
      <c r="M71" s="111">
        <f>IF(ISERROR(VLOOKUP(A71,'[1]Budget (Revised)'!A:G,6,FALSE)),0,VLOOKUP(A71,'[1]Budget (Revised)'!A:G,6,FALSE))</f>
        <v>10000</v>
      </c>
      <c r="N71" s="84"/>
    </row>
    <row r="72" spans="1:14" ht="12.75">
      <c r="A72" s="41">
        <v>6020</v>
      </c>
      <c r="B72" s="37" t="s">
        <v>105</v>
      </c>
      <c r="J72" s="65">
        <f>'[2]Sharing Page 9'!D99</f>
        <v>0</v>
      </c>
      <c r="K72" s="84"/>
      <c r="M72" s="111">
        <f>IF(ISERROR(VLOOKUP(A72,'[1]Budget (Revised)'!A:G,6,FALSE)),0,VLOOKUP(A72,'[1]Budget (Revised)'!A:G,6,FALSE))</f>
        <v>0</v>
      </c>
      <c r="N72" s="84"/>
    </row>
    <row r="73" spans="1:14" ht="12.75">
      <c r="A73" s="41">
        <v>6030</v>
      </c>
      <c r="B73" s="37" t="s">
        <v>104</v>
      </c>
      <c r="J73" s="65">
        <v>23843</v>
      </c>
      <c r="K73" s="84"/>
      <c r="M73" s="111">
        <f>IF(ISERROR(VLOOKUP(A73,'[1]Budget (Revised)'!A:G,6,FALSE)),0,VLOOKUP(A73,'[1]Budget (Revised)'!A:G,6,FALSE))</f>
        <v>15000</v>
      </c>
      <c r="N73" s="84"/>
    </row>
    <row r="74" spans="1:14" ht="12.75">
      <c r="A74" s="41">
        <v>6060</v>
      </c>
      <c r="B74" s="37" t="s">
        <v>103</v>
      </c>
      <c r="J74" s="65">
        <v>3918</v>
      </c>
      <c r="K74" s="84"/>
      <c r="M74" s="111">
        <f>IF(ISERROR(VLOOKUP(A74,'[1]Budget (Revised)'!A:G,6,FALSE)),0,VLOOKUP(A74,'[1]Budget (Revised)'!A:G,6,FALSE))</f>
        <v>250</v>
      </c>
      <c r="N74" s="84"/>
    </row>
    <row r="75" spans="2:15" ht="12.75">
      <c r="B75" s="37"/>
      <c r="C75" s="41"/>
      <c r="D75" s="69"/>
      <c r="E75" s="103"/>
      <c r="F75" s="40"/>
      <c r="G75" s="69"/>
      <c r="H75" s="103"/>
      <c r="I75" s="40"/>
      <c r="K75" s="84"/>
      <c r="L75" s="40"/>
      <c r="N75" s="84"/>
      <c r="O75" s="40"/>
    </row>
    <row r="76" spans="2:17" s="42" customFormat="1" ht="13.5" thickBot="1">
      <c r="B76" s="45" t="s">
        <v>102</v>
      </c>
      <c r="C76" s="44"/>
      <c r="D76" s="71"/>
      <c r="E76" s="105"/>
      <c r="F76" s="43"/>
      <c r="G76" s="71"/>
      <c r="H76" s="105"/>
      <c r="I76" s="43"/>
      <c r="J76" s="74">
        <f>SUM(J70:J75)</f>
        <v>28351</v>
      </c>
      <c r="K76" s="86"/>
      <c r="L76" s="43"/>
      <c r="M76" s="114">
        <f>SUM(M70:M75)</f>
        <v>25250</v>
      </c>
      <c r="N76" s="86"/>
      <c r="O76" s="43"/>
      <c r="P76" s="122"/>
      <c r="Q76" s="94"/>
    </row>
    <row r="77" spans="2:15" ht="12.75">
      <c r="B77" s="37"/>
      <c r="C77" s="41"/>
      <c r="D77" s="69"/>
      <c r="E77" s="103"/>
      <c r="F77" s="40"/>
      <c r="G77" s="69"/>
      <c r="H77" s="103"/>
      <c r="I77" s="40"/>
      <c r="K77" s="84"/>
      <c r="L77" s="40"/>
      <c r="N77" s="84"/>
      <c r="O77" s="40"/>
    </row>
    <row r="78" spans="2:17" s="27" customFormat="1" ht="13.5" thickBot="1">
      <c r="B78" s="30" t="s">
        <v>101</v>
      </c>
      <c r="C78" s="29"/>
      <c r="D78" s="72"/>
      <c r="E78" s="106"/>
      <c r="F78" s="28"/>
      <c r="G78" s="72"/>
      <c r="H78" s="106"/>
      <c r="I78" s="28"/>
      <c r="J78" s="75">
        <f>J66-J76</f>
        <v>133611</v>
      </c>
      <c r="K78" s="87"/>
      <c r="L78" s="28"/>
      <c r="M78" s="115">
        <f>M66-M76</f>
        <v>7500</v>
      </c>
      <c r="N78" s="87"/>
      <c r="O78" s="28"/>
      <c r="P78" s="123"/>
      <c r="Q78" s="95"/>
    </row>
    <row r="79" spans="2:15" ht="13.5" thickTop="1">
      <c r="B79" s="37"/>
      <c r="C79" s="41"/>
      <c r="D79" s="69"/>
      <c r="E79" s="103"/>
      <c r="F79" s="40"/>
      <c r="G79" s="69"/>
      <c r="H79" s="103"/>
      <c r="I79" s="40"/>
      <c r="K79" s="84"/>
      <c r="L79" s="40"/>
      <c r="N79" s="84"/>
      <c r="O79" s="40"/>
    </row>
    <row r="80" spans="1:14" ht="12.75">
      <c r="A80" s="39" t="s">
        <v>100</v>
      </c>
      <c r="K80" s="84"/>
      <c r="N80" s="84"/>
    </row>
    <row r="81" spans="1:14" ht="12.75">
      <c r="A81" s="25"/>
      <c r="K81" s="84"/>
      <c r="N81" s="84"/>
    </row>
    <row r="82" spans="1:14" ht="12.75">
      <c r="A82" s="38">
        <v>5100</v>
      </c>
      <c r="B82" s="37" t="s">
        <v>99</v>
      </c>
      <c r="J82" s="65">
        <f>IF(ISERROR(VLOOKUP(A82,'[1]2009 Budget'!$A:$XFD,16,FALSE)),0,VLOOKUP(A82,'[1]2009 Budget'!$A:$XFD,16,FALSE))</f>
        <v>0</v>
      </c>
      <c r="K82" s="84"/>
      <c r="M82" s="111">
        <f>IF(ISERROR(VLOOKUP(A82,'[1]Budget (Revised)'!A:G,6,FALSE)),0,VLOOKUP(A82,'[1]Budget (Revised)'!A:G,6,FALSE))</f>
        <v>0</v>
      </c>
      <c r="N82" s="84"/>
    </row>
    <row r="83" spans="1:14" ht="12.75">
      <c r="A83" s="38">
        <v>5120</v>
      </c>
      <c r="B83" s="37" t="s">
        <v>98</v>
      </c>
      <c r="J83" s="65">
        <v>34413</v>
      </c>
      <c r="K83" s="84"/>
      <c r="M83" s="111">
        <f>IF(ISERROR(VLOOKUP(A83,'[1]Budget (Revised)'!A:G,6,FALSE)),0,VLOOKUP(A83,'[1]Budget (Revised)'!A:G,6,FALSE))</f>
        <v>250000</v>
      </c>
      <c r="N83" s="84"/>
    </row>
    <row r="84" spans="1:14" ht="13.5" customHeight="1">
      <c r="A84" s="38"/>
      <c r="K84" s="84"/>
      <c r="N84" s="84"/>
    </row>
    <row r="85" spans="1:17" s="33" customFormat="1" ht="13.5" thickBot="1">
      <c r="A85" s="36"/>
      <c r="B85" s="35" t="s">
        <v>94</v>
      </c>
      <c r="D85" s="73"/>
      <c r="E85" s="107"/>
      <c r="F85" s="34"/>
      <c r="G85" s="73"/>
      <c r="H85" s="107"/>
      <c r="I85" s="34"/>
      <c r="J85" s="66">
        <f>SUM(J82:J84)</f>
        <v>34413</v>
      </c>
      <c r="K85" s="88"/>
      <c r="L85" s="34"/>
      <c r="M85" s="112">
        <f>SUM(M82:M84)</f>
        <v>250000</v>
      </c>
      <c r="N85" s="88"/>
      <c r="O85" s="34"/>
      <c r="P85" s="124"/>
      <c r="Q85" s="96"/>
    </row>
    <row r="86" spans="1:16" ht="12.75">
      <c r="A86" s="38"/>
      <c r="B86" s="25"/>
      <c r="K86" s="84"/>
      <c r="N86" s="84"/>
      <c r="P86" s="125"/>
    </row>
    <row r="87" spans="1:14" ht="12.75">
      <c r="A87" s="25" t="s">
        <v>97</v>
      </c>
      <c r="K87" s="84"/>
      <c r="N87" s="84"/>
    </row>
    <row r="88" spans="1:14" ht="12.75">
      <c r="A88" s="25"/>
      <c r="K88" s="84"/>
      <c r="N88" s="84"/>
    </row>
    <row r="89" spans="1:14" ht="12.75">
      <c r="A89" s="38">
        <v>6100</v>
      </c>
      <c r="B89" s="37" t="s">
        <v>96</v>
      </c>
      <c r="J89" s="65">
        <f>IF(ISERROR(VLOOKUP(A89,'[1]2009 Budget'!$A:$XFD,16,FALSE)),0,VLOOKUP(A89,'[1]2009 Budget'!$A:$XFD,16,FALSE))</f>
        <v>0</v>
      </c>
      <c r="K89" s="84"/>
      <c r="M89" s="111">
        <f>IF(ISERROR(VLOOKUP(A89,'[1]Budget (Revised)'!A:G,6,FALSE)),0,VLOOKUP(A89,'[1]Budget (Revised)'!A:G,6,FALSE))</f>
        <v>0</v>
      </c>
      <c r="N89" s="84"/>
    </row>
    <row r="90" spans="1:14" ht="12.75">
      <c r="A90" s="38">
        <v>6110</v>
      </c>
      <c r="B90" s="37" t="s">
        <v>95</v>
      </c>
      <c r="J90" s="65">
        <f>IF(ISERROR(VLOOKUP(A90,'[1]2009 Budget'!$A:$XFD,16,FALSE)),0,VLOOKUP(A90,'[1]2009 Budget'!$A:$XFD,16,FALSE))</f>
        <v>0</v>
      </c>
      <c r="K90" s="84"/>
      <c r="M90" s="111">
        <f>IF(ISERROR(VLOOKUP(A90,'[1]Budget (Revised)'!A:G,6,FALSE)),0,VLOOKUP(A90,'[1]Budget (Revised)'!A:G,6,FALSE))</f>
        <v>243500</v>
      </c>
      <c r="N90" s="84"/>
    </row>
    <row r="91" spans="11:14" ht="12.75">
      <c r="K91" s="84"/>
      <c r="N91" s="84"/>
    </row>
    <row r="92" spans="1:17" s="33" customFormat="1" ht="13.5" thickBot="1">
      <c r="A92" s="36"/>
      <c r="B92" s="35" t="s">
        <v>94</v>
      </c>
      <c r="D92" s="73"/>
      <c r="E92" s="107"/>
      <c r="F92" s="34"/>
      <c r="G92" s="73"/>
      <c r="H92" s="107"/>
      <c r="I92" s="34"/>
      <c r="J92" s="66">
        <f>SUM(J89:J91)</f>
        <v>0</v>
      </c>
      <c r="K92" s="88"/>
      <c r="L92" s="34"/>
      <c r="M92" s="112">
        <f>SUM(M89:M91)</f>
        <v>243500</v>
      </c>
      <c r="N92" s="88"/>
      <c r="O92" s="34"/>
      <c r="P92" s="124"/>
      <c r="Q92" s="96"/>
    </row>
    <row r="93" spans="2:15" ht="12.75">
      <c r="B93" s="24"/>
      <c r="C93" s="32"/>
      <c r="D93" s="67"/>
      <c r="E93" s="101"/>
      <c r="F93" s="31"/>
      <c r="G93" s="67"/>
      <c r="H93" s="101"/>
      <c r="I93" s="31"/>
      <c r="K93" s="84"/>
      <c r="L93" s="31"/>
      <c r="N93" s="84"/>
      <c r="O93" s="31"/>
    </row>
    <row r="94" spans="2:17" s="27" customFormat="1" ht="13.5" thickBot="1">
      <c r="B94" s="30" t="s">
        <v>93</v>
      </c>
      <c r="C94" s="29"/>
      <c r="D94" s="72"/>
      <c r="E94" s="106"/>
      <c r="F94" s="28"/>
      <c r="G94" s="72"/>
      <c r="H94" s="106"/>
      <c r="I94" s="28"/>
      <c r="J94" s="75">
        <f>J85-J92</f>
        <v>34413</v>
      </c>
      <c r="K94" s="87"/>
      <c r="L94" s="28"/>
      <c r="M94" s="115">
        <f>M85-M92</f>
        <v>6500</v>
      </c>
      <c r="N94" s="87"/>
      <c r="O94" s="28"/>
      <c r="P94" s="123"/>
      <c r="Q94" s="95"/>
    </row>
    <row r="95" spans="2:15" ht="13.5" thickTop="1">
      <c r="B95" s="24"/>
      <c r="C95" s="24"/>
      <c r="F95" s="26"/>
      <c r="I95" s="26"/>
      <c r="K95" s="84"/>
      <c r="L95" s="26"/>
      <c r="N95" s="84"/>
      <c r="O95" s="26"/>
    </row>
    <row r="96" spans="2:15" ht="12.75">
      <c r="B96" s="24"/>
      <c r="C96" s="24"/>
      <c r="F96" s="26"/>
      <c r="I96" s="26"/>
      <c r="K96" s="84"/>
      <c r="L96" s="26"/>
      <c r="N96" s="84"/>
      <c r="O96" s="26"/>
    </row>
    <row r="97" spans="2:15" ht="12.75">
      <c r="B97" s="24"/>
      <c r="C97" s="24"/>
      <c r="F97" s="26"/>
      <c r="I97" s="26"/>
      <c r="K97" s="84"/>
      <c r="L97" s="26"/>
      <c r="N97" s="84"/>
      <c r="O97" s="26"/>
    </row>
    <row r="98" spans="2:15" ht="12.75">
      <c r="B98" s="24"/>
      <c r="C98" s="24"/>
      <c r="F98" s="26"/>
      <c r="I98" s="26"/>
      <c r="K98" s="84"/>
      <c r="L98" s="26"/>
      <c r="N98" s="84"/>
      <c r="O98" s="26"/>
    </row>
    <row r="99" spans="2:15" ht="12.75">
      <c r="B99" s="24"/>
      <c r="C99" s="24"/>
      <c r="F99" s="26"/>
      <c r="I99" s="26"/>
      <c r="K99" s="84"/>
      <c r="L99" s="26"/>
      <c r="N99" s="84"/>
      <c r="O99" s="26"/>
    </row>
    <row r="100" spans="2:15" ht="12.75">
      <c r="B100" s="24"/>
      <c r="C100" s="24"/>
      <c r="F100" s="26"/>
      <c r="I100" s="26"/>
      <c r="K100" s="84"/>
      <c r="L100" s="26"/>
      <c r="N100" s="84"/>
      <c r="O100" s="26"/>
    </row>
    <row r="101" spans="2:15" ht="12.75">
      <c r="B101" s="24"/>
      <c r="C101" s="24"/>
      <c r="F101" s="26"/>
      <c r="I101" s="26"/>
      <c r="K101" s="84"/>
      <c r="L101" s="26"/>
      <c r="N101" s="84"/>
      <c r="O101" s="26"/>
    </row>
    <row r="102" spans="2:15" ht="12.75">
      <c r="B102" s="24"/>
      <c r="C102" s="24"/>
      <c r="F102" s="26"/>
      <c r="I102" s="26"/>
      <c r="K102" s="84"/>
      <c r="L102" s="26"/>
      <c r="N102" s="84"/>
      <c r="O102" s="26"/>
    </row>
    <row r="103" spans="2:15" ht="12.75">
      <c r="B103" s="24"/>
      <c r="C103" s="24"/>
      <c r="F103" s="26"/>
      <c r="I103" s="26"/>
      <c r="K103" s="84"/>
      <c r="L103" s="26"/>
      <c r="N103" s="84"/>
      <c r="O103" s="26"/>
    </row>
    <row r="104" spans="2:15" ht="12.75">
      <c r="B104" s="24"/>
      <c r="C104" s="24"/>
      <c r="F104" s="26"/>
      <c r="I104" s="26"/>
      <c r="K104" s="84"/>
      <c r="L104" s="26"/>
      <c r="N104" s="84"/>
      <c r="O104" s="26"/>
    </row>
    <row r="105" spans="2:15" ht="12.75">
      <c r="B105" s="24"/>
      <c r="C105" s="24"/>
      <c r="F105" s="26"/>
      <c r="I105" s="26"/>
      <c r="K105" s="84"/>
      <c r="L105" s="26"/>
      <c r="N105" s="84"/>
      <c r="O105" s="26"/>
    </row>
    <row r="106" spans="2:16" ht="12.75">
      <c r="B106" s="25"/>
      <c r="K106" s="84"/>
      <c r="N106" s="84"/>
      <c r="P106" s="125"/>
    </row>
    <row r="107" spans="11:14" ht="12.75">
      <c r="K107" s="84"/>
      <c r="N107" s="84"/>
    </row>
    <row r="108" spans="2:16" ht="12.75">
      <c r="B108" s="25"/>
      <c r="K108" s="84"/>
      <c r="N108" s="84"/>
      <c r="P108" s="125"/>
    </row>
  </sheetData>
  <sheetProtection/>
  <printOptions/>
  <pageMargins left="0.75" right="0.5" top="1.18" bottom="1" header="0.5" footer="0.5"/>
  <pageSetup fitToHeight="10" fitToWidth="1" horizontalDpi="600" verticalDpi="600" orientation="landscape" scale="69" r:id="rId1"/>
  <headerFooter alignWithMargins="0">
    <oddHeader>&amp;C&amp;"Arial,Bold"St. Teresa of Avila
Budget
July 1, 2009 - June 30, 2010&amp;R&amp;"Arial,Bold"Page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57421875" style="1" bestFit="1" customWidth="1"/>
    <col min="2" max="2" width="58.00390625" style="1" customWidth="1"/>
    <col min="3" max="3" width="10.57421875" style="1" bestFit="1" customWidth="1"/>
    <col min="4" max="4" width="11.28125" style="134" bestFit="1" customWidth="1"/>
    <col min="5" max="5" width="3.57421875" style="134" customWidth="1"/>
    <col min="6" max="6" width="17.28125" style="134" bestFit="1" customWidth="1"/>
    <col min="7" max="7" width="3.57421875" style="134" customWidth="1"/>
    <col min="8" max="8" width="17.00390625" style="134" bestFit="1" customWidth="1"/>
    <col min="9" max="9" width="3.57421875" style="134" customWidth="1"/>
    <col min="10" max="10" width="21.57421875" style="134" bestFit="1" customWidth="1"/>
    <col min="11" max="11" width="3.57421875" style="134" customWidth="1"/>
    <col min="12" max="12" width="9.8515625" style="134" bestFit="1" customWidth="1"/>
    <col min="13" max="16384" width="9.140625" style="1" customWidth="1"/>
  </cols>
  <sheetData>
    <row r="1" spans="2:12" s="9" customFormat="1" ht="12.75">
      <c r="B1" s="11" t="s">
        <v>61</v>
      </c>
      <c r="C1" s="11"/>
      <c r="D1" s="127"/>
      <c r="E1" s="127"/>
      <c r="F1" s="128" t="s">
        <v>62</v>
      </c>
      <c r="G1" s="127"/>
      <c r="H1" s="129" t="s">
        <v>63</v>
      </c>
      <c r="I1" s="127"/>
      <c r="J1" s="130" t="s">
        <v>64</v>
      </c>
      <c r="K1" s="127"/>
      <c r="L1" s="134"/>
    </row>
    <row r="2" spans="2:12" s="9" customFormat="1" ht="12.75">
      <c r="B2" s="11" t="s">
        <v>129</v>
      </c>
      <c r="C2" s="11"/>
      <c r="D2" s="127"/>
      <c r="E2" s="127"/>
      <c r="F2" s="127"/>
      <c r="G2" s="127"/>
      <c r="H2" s="131" t="s">
        <v>66</v>
      </c>
      <c r="I2" s="127"/>
      <c r="J2" s="132" t="s">
        <v>0</v>
      </c>
      <c r="K2" s="127"/>
      <c r="L2" s="134"/>
    </row>
    <row r="3" spans="2:12" s="9" customFormat="1" ht="12.75">
      <c r="B3" s="11" t="s">
        <v>1</v>
      </c>
      <c r="C3" s="11"/>
      <c r="D3" s="127"/>
      <c r="E3" s="127"/>
      <c r="F3" s="127"/>
      <c r="G3" s="127"/>
      <c r="H3" s="127"/>
      <c r="I3" s="127"/>
      <c r="J3" s="127"/>
      <c r="K3" s="127"/>
      <c r="L3" s="134"/>
    </row>
    <row r="4" spans="2:12" s="9" customFormat="1" ht="12.75">
      <c r="B4" s="11"/>
      <c r="C4" s="11"/>
      <c r="D4" s="133" t="s">
        <v>3</v>
      </c>
      <c r="E4" s="127"/>
      <c r="F4" s="133" t="s">
        <v>4</v>
      </c>
      <c r="G4" s="127"/>
      <c r="H4" s="133" t="s">
        <v>5</v>
      </c>
      <c r="I4" s="127"/>
      <c r="J4" s="133" t="s">
        <v>6</v>
      </c>
      <c r="K4" s="127"/>
      <c r="L4" s="133" t="s">
        <v>7</v>
      </c>
    </row>
    <row r="5" spans="1:12" ht="12.75">
      <c r="A5" s="9"/>
      <c r="B5" s="9"/>
      <c r="C5" s="21" t="s">
        <v>2</v>
      </c>
      <c r="D5" s="128" t="s">
        <v>54</v>
      </c>
      <c r="E5" s="127"/>
      <c r="F5" s="133"/>
      <c r="G5" s="127"/>
      <c r="H5" s="133"/>
      <c r="I5" s="127"/>
      <c r="J5" s="128" t="s">
        <v>54</v>
      </c>
      <c r="K5" s="127"/>
      <c r="L5" s="127"/>
    </row>
    <row r="6" spans="1:12" ht="12.75">
      <c r="A6" s="9"/>
      <c r="B6" s="9"/>
      <c r="C6" s="21" t="s">
        <v>8</v>
      </c>
      <c r="D6" s="133" t="s">
        <v>9</v>
      </c>
      <c r="E6" s="127"/>
      <c r="F6" s="133" t="s">
        <v>10</v>
      </c>
      <c r="G6" s="127"/>
      <c r="H6" s="133" t="s">
        <v>11</v>
      </c>
      <c r="I6" s="127"/>
      <c r="J6" s="133" t="s">
        <v>12</v>
      </c>
      <c r="K6" s="127"/>
      <c r="L6" s="133" t="s">
        <v>13</v>
      </c>
    </row>
    <row r="7" spans="2:3" ht="12.75">
      <c r="B7" s="10" t="s">
        <v>14</v>
      </c>
      <c r="C7" s="11"/>
    </row>
    <row r="8" spans="1:12" ht="12.75">
      <c r="A8" s="5">
        <v>1</v>
      </c>
      <c r="B8" s="6" t="s">
        <v>15</v>
      </c>
      <c r="C8" s="7">
        <v>3000</v>
      </c>
      <c r="D8" s="135">
        <v>431672</v>
      </c>
      <c r="E8" s="136"/>
      <c r="F8" s="135">
        <v>0</v>
      </c>
      <c r="G8" s="136"/>
      <c r="H8" s="135">
        <v>0</v>
      </c>
      <c r="I8" s="136"/>
      <c r="J8" s="135">
        <v>0</v>
      </c>
      <c r="K8" s="136"/>
      <c r="L8" s="152">
        <f>SUM(D8:J8)</f>
        <v>431672</v>
      </c>
    </row>
    <row r="9" spans="1:12" ht="12.75">
      <c r="A9" s="5">
        <v>2</v>
      </c>
      <c r="B9" s="6" t="s">
        <v>16</v>
      </c>
      <c r="C9" s="7">
        <v>3020</v>
      </c>
      <c r="D9" s="135">
        <v>39595</v>
      </c>
      <c r="E9" s="136"/>
      <c r="F9" s="135">
        <v>0</v>
      </c>
      <c r="G9" s="136"/>
      <c r="H9" s="135">
        <v>0</v>
      </c>
      <c r="I9" s="136"/>
      <c r="J9" s="135">
        <v>0</v>
      </c>
      <c r="K9" s="136"/>
      <c r="L9" s="152">
        <f aca="true" t="shared" si="0" ref="L9:L22">SUM(D9:J9)</f>
        <v>39595</v>
      </c>
    </row>
    <row r="10" spans="1:12" ht="12.75">
      <c r="A10" s="5">
        <v>3</v>
      </c>
      <c r="B10" s="6" t="s">
        <v>17</v>
      </c>
      <c r="C10" s="7">
        <v>3030</v>
      </c>
      <c r="D10" s="135">
        <v>31186</v>
      </c>
      <c r="E10" s="136"/>
      <c r="F10" s="135">
        <v>0</v>
      </c>
      <c r="G10" s="136"/>
      <c r="H10" s="135">
        <v>0</v>
      </c>
      <c r="I10" s="136"/>
      <c r="J10" s="135">
        <v>0</v>
      </c>
      <c r="K10" s="136"/>
      <c r="L10" s="152">
        <f t="shared" si="0"/>
        <v>31186</v>
      </c>
    </row>
    <row r="11" spans="1:12" ht="12.75">
      <c r="A11" s="5">
        <v>4</v>
      </c>
      <c r="B11" s="6" t="s">
        <v>18</v>
      </c>
      <c r="C11" s="7">
        <v>3040</v>
      </c>
      <c r="D11" s="135">
        <v>10146</v>
      </c>
      <c r="E11" s="136"/>
      <c r="F11" s="135">
        <v>0</v>
      </c>
      <c r="G11" s="136"/>
      <c r="H11" s="135">
        <v>0</v>
      </c>
      <c r="I11" s="136"/>
      <c r="J11" s="135">
        <v>0</v>
      </c>
      <c r="K11" s="136"/>
      <c r="L11" s="152">
        <f t="shared" si="0"/>
        <v>10146</v>
      </c>
    </row>
    <row r="12" spans="1:12" ht="12.75">
      <c r="A12" s="5">
        <v>5</v>
      </c>
      <c r="B12" s="6" t="s">
        <v>19</v>
      </c>
      <c r="C12" s="7">
        <v>3100</v>
      </c>
      <c r="D12" s="135">
        <v>0</v>
      </c>
      <c r="E12" s="137"/>
      <c r="F12" s="135">
        <v>15963</v>
      </c>
      <c r="G12" s="137"/>
      <c r="H12" s="135">
        <v>0</v>
      </c>
      <c r="I12" s="137"/>
      <c r="J12" s="135">
        <v>0</v>
      </c>
      <c r="K12" s="137"/>
      <c r="L12" s="152">
        <f t="shared" si="0"/>
        <v>15963</v>
      </c>
    </row>
    <row r="13" spans="1:12" ht="12.75">
      <c r="A13" s="5">
        <v>6</v>
      </c>
      <c r="B13" s="6" t="s">
        <v>20</v>
      </c>
      <c r="C13" s="7">
        <v>3110</v>
      </c>
      <c r="D13" s="135">
        <v>0</v>
      </c>
      <c r="E13" s="138"/>
      <c r="F13" s="135">
        <v>960</v>
      </c>
      <c r="G13" s="138"/>
      <c r="H13" s="135">
        <v>0</v>
      </c>
      <c r="I13" s="138"/>
      <c r="J13" s="135">
        <v>0</v>
      </c>
      <c r="K13" s="138"/>
      <c r="L13" s="152">
        <f t="shared" si="0"/>
        <v>960</v>
      </c>
    </row>
    <row r="14" spans="1:12" ht="12.75">
      <c r="A14" s="5">
        <v>7</v>
      </c>
      <c r="B14" s="6" t="s">
        <v>21</v>
      </c>
      <c r="C14" s="7">
        <v>3200</v>
      </c>
      <c r="D14" s="135">
        <v>0</v>
      </c>
      <c r="E14" s="137"/>
      <c r="F14" s="135">
        <v>0</v>
      </c>
      <c r="G14" s="137"/>
      <c r="H14" s="135">
        <v>0</v>
      </c>
      <c r="I14" s="137"/>
      <c r="J14" s="135">
        <v>0</v>
      </c>
      <c r="K14" s="137"/>
      <c r="L14" s="152">
        <f t="shared" si="0"/>
        <v>0</v>
      </c>
    </row>
    <row r="15" spans="1:12" ht="12.75">
      <c r="A15" s="5">
        <v>8</v>
      </c>
      <c r="B15" s="6" t="s">
        <v>22</v>
      </c>
      <c r="C15" s="7">
        <v>3350</v>
      </c>
      <c r="D15" s="135">
        <v>0</v>
      </c>
      <c r="E15" s="137"/>
      <c r="F15" s="135">
        <v>0</v>
      </c>
      <c r="G15" s="137"/>
      <c r="H15" s="135">
        <v>0</v>
      </c>
      <c r="I15" s="137"/>
      <c r="J15" s="135">
        <v>12087</v>
      </c>
      <c r="K15" s="137"/>
      <c r="L15" s="152">
        <f t="shared" si="0"/>
        <v>12087</v>
      </c>
    </row>
    <row r="16" spans="1:12" ht="12.75">
      <c r="A16" s="5">
        <v>9</v>
      </c>
      <c r="B16" s="6" t="s">
        <v>23</v>
      </c>
      <c r="C16" s="7">
        <v>3450</v>
      </c>
      <c r="D16" s="135">
        <v>66744</v>
      </c>
      <c r="E16" s="136"/>
      <c r="F16" s="135">
        <v>0</v>
      </c>
      <c r="G16" s="136"/>
      <c r="H16" s="135">
        <v>0</v>
      </c>
      <c r="I16" s="136"/>
      <c r="J16" s="135">
        <v>0</v>
      </c>
      <c r="K16" s="136"/>
      <c r="L16" s="152">
        <f t="shared" si="0"/>
        <v>66744</v>
      </c>
    </row>
    <row r="17" spans="1:12" ht="12.75">
      <c r="A17" s="5">
        <v>10</v>
      </c>
      <c r="B17" s="6" t="s">
        <v>24</v>
      </c>
      <c r="C17" s="7">
        <v>3500</v>
      </c>
      <c r="D17" s="135">
        <v>377</v>
      </c>
      <c r="E17" s="136"/>
      <c r="F17" s="135">
        <v>0</v>
      </c>
      <c r="G17" s="136"/>
      <c r="H17" s="135">
        <v>0</v>
      </c>
      <c r="I17" s="136"/>
      <c r="J17" s="135">
        <v>0</v>
      </c>
      <c r="K17" s="136"/>
      <c r="L17" s="152">
        <f t="shared" si="0"/>
        <v>377</v>
      </c>
    </row>
    <row r="18" spans="1:12" ht="12.75">
      <c r="A18" s="5">
        <v>11</v>
      </c>
      <c r="B18" s="6" t="s">
        <v>25</v>
      </c>
      <c r="C18" s="7">
        <v>3550</v>
      </c>
      <c r="D18" s="135">
        <v>0</v>
      </c>
      <c r="E18" s="137"/>
      <c r="F18" s="135">
        <v>0</v>
      </c>
      <c r="G18" s="137"/>
      <c r="H18" s="135">
        <v>0</v>
      </c>
      <c r="I18" s="137"/>
      <c r="J18" s="135">
        <v>0</v>
      </c>
      <c r="K18" s="137"/>
      <c r="L18" s="152">
        <f t="shared" si="0"/>
        <v>0</v>
      </c>
    </row>
    <row r="19" spans="1:12" ht="12.75">
      <c r="A19" s="5">
        <v>12</v>
      </c>
      <c r="B19" s="6" t="s">
        <v>26</v>
      </c>
      <c r="C19" s="7">
        <v>3600</v>
      </c>
      <c r="D19" s="141">
        <v>0</v>
      </c>
      <c r="E19" s="136"/>
      <c r="F19" s="141">
        <v>0</v>
      </c>
      <c r="G19" s="136"/>
      <c r="H19" s="141">
        <v>0</v>
      </c>
      <c r="I19" s="136"/>
      <c r="J19" s="135">
        <v>0</v>
      </c>
      <c r="K19" s="136"/>
      <c r="L19" s="152">
        <f t="shared" si="0"/>
        <v>0</v>
      </c>
    </row>
    <row r="20" spans="1:12" ht="12.75">
      <c r="A20" s="5">
        <v>13</v>
      </c>
      <c r="B20" s="6" t="s">
        <v>27</v>
      </c>
      <c r="C20" s="7">
        <v>3700</v>
      </c>
      <c r="D20" s="142">
        <v>23213.54</v>
      </c>
      <c r="E20" s="137"/>
      <c r="F20" s="141">
        <v>0</v>
      </c>
      <c r="G20" s="137"/>
      <c r="H20" s="141">
        <v>0</v>
      </c>
      <c r="I20" s="137"/>
      <c r="J20" s="143">
        <v>0</v>
      </c>
      <c r="K20" s="137"/>
      <c r="L20" s="152">
        <f t="shared" si="0"/>
        <v>23213.54</v>
      </c>
    </row>
    <row r="21" spans="1:12" ht="12.75">
      <c r="A21" s="5"/>
      <c r="B21" s="6"/>
      <c r="C21" s="7"/>
      <c r="D21" s="139"/>
      <c r="E21" s="137"/>
      <c r="F21" s="139"/>
      <c r="G21" s="137"/>
      <c r="H21" s="139"/>
      <c r="I21" s="137"/>
      <c r="J21" s="139"/>
      <c r="K21" s="137"/>
      <c r="L21" s="154"/>
    </row>
    <row r="22" spans="1:12" ht="13.5" thickBot="1">
      <c r="A22" s="5">
        <v>14</v>
      </c>
      <c r="B22" s="6" t="s">
        <v>28</v>
      </c>
      <c r="C22" s="7"/>
      <c r="D22" s="141">
        <v>602933.54</v>
      </c>
      <c r="E22" s="137"/>
      <c r="F22" s="141">
        <v>16923</v>
      </c>
      <c r="G22" s="137"/>
      <c r="H22" s="141">
        <v>0</v>
      </c>
      <c r="I22" s="137"/>
      <c r="J22" s="141">
        <v>12087</v>
      </c>
      <c r="K22" s="137"/>
      <c r="L22" s="155">
        <f t="shared" si="0"/>
        <v>631943.54</v>
      </c>
    </row>
    <row r="23" spans="3:12" ht="12.75">
      <c r="C23" s="8"/>
      <c r="D23" s="139"/>
      <c r="E23" s="137"/>
      <c r="F23" s="139"/>
      <c r="G23" s="137"/>
      <c r="H23" s="139"/>
      <c r="I23" s="137"/>
      <c r="J23" s="139"/>
      <c r="K23" s="137"/>
      <c r="L23" s="137"/>
    </row>
    <row r="24" spans="2:12" ht="12.75">
      <c r="B24" s="10" t="s">
        <v>29</v>
      </c>
      <c r="C24" s="12"/>
      <c r="E24" s="137"/>
      <c r="G24" s="137"/>
      <c r="I24" s="137"/>
      <c r="K24" s="137"/>
      <c r="L24" s="137"/>
    </row>
    <row r="25" spans="1:12" ht="12.75">
      <c r="A25" s="5">
        <v>15</v>
      </c>
      <c r="B25" s="6" t="s">
        <v>30</v>
      </c>
      <c r="C25" s="7">
        <v>4010</v>
      </c>
      <c r="D25" s="135">
        <v>257712</v>
      </c>
      <c r="E25" s="137"/>
      <c r="F25" s="135">
        <v>32530</v>
      </c>
      <c r="G25" s="137"/>
      <c r="H25" s="135">
        <v>0</v>
      </c>
      <c r="I25" s="137"/>
      <c r="J25" s="135">
        <v>0</v>
      </c>
      <c r="K25" s="137"/>
      <c r="L25" s="152">
        <f>SUM(D25:J25)</f>
        <v>290242</v>
      </c>
    </row>
    <row r="26" spans="2:12" ht="12.75">
      <c r="B26" s="13" t="s">
        <v>31</v>
      </c>
      <c r="C26" s="14"/>
      <c r="D26" s="139"/>
      <c r="E26" s="144"/>
      <c r="F26" s="139"/>
      <c r="G26" s="144"/>
      <c r="H26" s="139"/>
      <c r="I26" s="144"/>
      <c r="J26" s="139"/>
      <c r="K26" s="144"/>
      <c r="L26" s="156"/>
    </row>
    <row r="27" spans="1:12" ht="12.75">
      <c r="A27" s="5">
        <v>16</v>
      </c>
      <c r="B27" s="6" t="s">
        <v>32</v>
      </c>
      <c r="C27" s="7">
        <v>4030</v>
      </c>
      <c r="D27" s="135">
        <v>33529</v>
      </c>
      <c r="E27" s="137"/>
      <c r="F27" s="135">
        <v>0</v>
      </c>
      <c r="G27" s="137"/>
      <c r="H27" s="135">
        <v>0</v>
      </c>
      <c r="I27" s="137"/>
      <c r="J27" s="135">
        <v>0</v>
      </c>
      <c r="K27" s="137"/>
      <c r="L27" s="152">
        <f aca="true" t="shared" si="1" ref="L27:L49">SUM(D27:J27)</f>
        <v>33529</v>
      </c>
    </row>
    <row r="28" spans="1:12" ht="12.75">
      <c r="A28" s="5">
        <v>17</v>
      </c>
      <c r="B28" s="6" t="s">
        <v>33</v>
      </c>
      <c r="C28" s="7">
        <v>4040</v>
      </c>
      <c r="D28" s="135">
        <v>14672</v>
      </c>
      <c r="E28" s="137"/>
      <c r="F28" s="135">
        <v>0</v>
      </c>
      <c r="G28" s="137"/>
      <c r="H28" s="145">
        <v>0</v>
      </c>
      <c r="I28" s="137"/>
      <c r="J28" s="135">
        <v>0</v>
      </c>
      <c r="K28" s="137"/>
      <c r="L28" s="152">
        <f t="shared" si="1"/>
        <v>14672</v>
      </c>
    </row>
    <row r="29" spans="1:12" ht="12.75">
      <c r="A29" s="5">
        <v>18</v>
      </c>
      <c r="B29" s="6" t="s">
        <v>34</v>
      </c>
      <c r="C29" s="7">
        <v>4050</v>
      </c>
      <c r="D29" s="135">
        <v>10087</v>
      </c>
      <c r="E29" s="137"/>
      <c r="F29" s="135">
        <v>0</v>
      </c>
      <c r="G29" s="137"/>
      <c r="H29" s="145">
        <v>0</v>
      </c>
      <c r="I29" s="137"/>
      <c r="J29" s="135">
        <v>0</v>
      </c>
      <c r="K29" s="137"/>
      <c r="L29" s="152">
        <f t="shared" si="1"/>
        <v>10087</v>
      </c>
    </row>
    <row r="30" spans="1:12" ht="12.75">
      <c r="A30" s="5">
        <v>19</v>
      </c>
      <c r="B30" s="6" t="s">
        <v>35</v>
      </c>
      <c r="C30" s="7">
        <v>4060</v>
      </c>
      <c r="D30" s="135">
        <v>2300</v>
      </c>
      <c r="E30" s="137"/>
      <c r="F30" s="135">
        <v>0</v>
      </c>
      <c r="G30" s="137"/>
      <c r="H30" s="145">
        <v>0</v>
      </c>
      <c r="I30" s="137"/>
      <c r="J30" s="135">
        <v>0</v>
      </c>
      <c r="K30" s="137"/>
      <c r="L30" s="152">
        <f t="shared" si="1"/>
        <v>2300</v>
      </c>
    </row>
    <row r="31" spans="1:12" ht="12.75">
      <c r="A31" s="5">
        <v>20</v>
      </c>
      <c r="B31" s="6" t="s">
        <v>36</v>
      </c>
      <c r="C31" s="7">
        <v>4100</v>
      </c>
      <c r="D31" s="135">
        <v>6378</v>
      </c>
      <c r="E31" s="136"/>
      <c r="F31" s="135">
        <v>0</v>
      </c>
      <c r="G31" s="136"/>
      <c r="H31" s="145">
        <v>0</v>
      </c>
      <c r="I31" s="136"/>
      <c r="J31" s="135">
        <v>0</v>
      </c>
      <c r="K31" s="136"/>
      <c r="L31" s="152">
        <f t="shared" si="1"/>
        <v>6378</v>
      </c>
    </row>
    <row r="32" spans="1:12" ht="12.75">
      <c r="A32" s="5">
        <v>21</v>
      </c>
      <c r="B32" s="6" t="s">
        <v>37</v>
      </c>
      <c r="C32" s="7">
        <v>4150</v>
      </c>
      <c r="D32" s="135">
        <v>21657</v>
      </c>
      <c r="E32" s="136"/>
      <c r="F32" s="135">
        <v>0</v>
      </c>
      <c r="G32" s="136"/>
      <c r="H32" s="145">
        <v>0</v>
      </c>
      <c r="I32" s="136"/>
      <c r="J32" s="135">
        <v>0</v>
      </c>
      <c r="K32" s="136"/>
      <c r="L32" s="152">
        <f t="shared" si="1"/>
        <v>21657</v>
      </c>
    </row>
    <row r="33" spans="1:12" ht="12.75">
      <c r="A33" s="5">
        <v>22</v>
      </c>
      <c r="B33" s="6" t="s">
        <v>38</v>
      </c>
      <c r="C33" s="7">
        <v>4200</v>
      </c>
      <c r="D33" s="135">
        <v>433</v>
      </c>
      <c r="E33" s="136"/>
      <c r="F33" s="145">
        <v>0</v>
      </c>
      <c r="G33" s="136"/>
      <c r="H33" s="145">
        <v>0</v>
      </c>
      <c r="I33" s="136"/>
      <c r="J33" s="145">
        <v>0</v>
      </c>
      <c r="K33" s="136"/>
      <c r="L33" s="152">
        <f t="shared" si="1"/>
        <v>433</v>
      </c>
    </row>
    <row r="34" spans="1:12" ht="12.75">
      <c r="A34" s="5">
        <v>23</v>
      </c>
      <c r="B34" s="6" t="s">
        <v>39</v>
      </c>
      <c r="C34" s="7">
        <v>4250</v>
      </c>
      <c r="D34" s="135">
        <v>12078</v>
      </c>
      <c r="E34" s="136"/>
      <c r="F34" s="145">
        <v>0</v>
      </c>
      <c r="G34" s="136"/>
      <c r="H34" s="145">
        <v>0</v>
      </c>
      <c r="I34" s="136"/>
      <c r="J34" s="145">
        <v>0</v>
      </c>
      <c r="K34" s="136"/>
      <c r="L34" s="152">
        <f t="shared" si="1"/>
        <v>12078</v>
      </c>
    </row>
    <row r="35" spans="1:12" ht="12.75">
      <c r="A35" s="18"/>
      <c r="B35" s="13" t="s">
        <v>40</v>
      </c>
      <c r="C35" s="14"/>
      <c r="D35" s="145"/>
      <c r="F35" s="145"/>
      <c r="H35" s="145"/>
      <c r="J35" s="145"/>
      <c r="L35" s="152">
        <f t="shared" si="1"/>
        <v>0</v>
      </c>
    </row>
    <row r="36" spans="1:12" ht="12.75">
      <c r="A36" s="5">
        <v>24</v>
      </c>
      <c r="B36" s="6" t="s">
        <v>41</v>
      </c>
      <c r="C36" s="7">
        <v>4400</v>
      </c>
      <c r="D36" s="145">
        <v>2500</v>
      </c>
      <c r="E36" s="136"/>
      <c r="F36" s="145">
        <v>0</v>
      </c>
      <c r="G36" s="136"/>
      <c r="H36" s="145">
        <v>0</v>
      </c>
      <c r="I36" s="136"/>
      <c r="J36" s="145">
        <v>0</v>
      </c>
      <c r="K36" s="136"/>
      <c r="L36" s="152">
        <f t="shared" si="1"/>
        <v>2500</v>
      </c>
    </row>
    <row r="37" spans="1:12" ht="12.75">
      <c r="A37" s="5">
        <v>25</v>
      </c>
      <c r="B37" s="6" t="s">
        <v>42</v>
      </c>
      <c r="C37" s="7">
        <v>4410</v>
      </c>
      <c r="D37" s="145">
        <v>26530</v>
      </c>
      <c r="E37" s="136"/>
      <c r="F37" s="145">
        <v>0</v>
      </c>
      <c r="G37" s="136"/>
      <c r="H37" s="145">
        <v>0</v>
      </c>
      <c r="I37" s="136"/>
      <c r="J37" s="145">
        <v>0</v>
      </c>
      <c r="K37" s="136"/>
      <c r="L37" s="152">
        <f t="shared" si="1"/>
        <v>26530</v>
      </c>
    </row>
    <row r="38" spans="1:12" ht="12.75">
      <c r="A38" s="5">
        <v>26</v>
      </c>
      <c r="B38" s="6" t="s">
        <v>43</v>
      </c>
      <c r="C38" s="7">
        <v>4420</v>
      </c>
      <c r="D38" s="145">
        <v>18533</v>
      </c>
      <c r="E38" s="136"/>
      <c r="F38" s="145">
        <v>0</v>
      </c>
      <c r="G38" s="136"/>
      <c r="H38" s="145">
        <v>0</v>
      </c>
      <c r="I38" s="136"/>
      <c r="J38" s="145">
        <v>0</v>
      </c>
      <c r="K38" s="136"/>
      <c r="L38" s="152">
        <f t="shared" si="1"/>
        <v>18533</v>
      </c>
    </row>
    <row r="39" spans="1:12" ht="12.75">
      <c r="A39" s="5">
        <v>27</v>
      </c>
      <c r="B39" s="6" t="s">
        <v>44</v>
      </c>
      <c r="C39" s="7">
        <v>4430</v>
      </c>
      <c r="D39" s="145">
        <v>3566</v>
      </c>
      <c r="E39" s="136"/>
      <c r="F39" s="145">
        <v>0</v>
      </c>
      <c r="G39" s="136"/>
      <c r="H39" s="145">
        <v>0</v>
      </c>
      <c r="I39" s="136"/>
      <c r="J39" s="145">
        <v>0</v>
      </c>
      <c r="K39" s="136"/>
      <c r="L39" s="152">
        <f t="shared" si="1"/>
        <v>3566</v>
      </c>
    </row>
    <row r="40" spans="1:12" ht="12.75">
      <c r="A40" s="5">
        <v>28</v>
      </c>
      <c r="B40" s="6" t="s">
        <v>45</v>
      </c>
      <c r="C40" s="7">
        <v>4450</v>
      </c>
      <c r="D40" s="145">
        <v>38235</v>
      </c>
      <c r="E40" s="136"/>
      <c r="F40" s="145">
        <v>0</v>
      </c>
      <c r="G40" s="136"/>
      <c r="H40" s="145">
        <v>0</v>
      </c>
      <c r="I40" s="136"/>
      <c r="J40" s="145">
        <v>0</v>
      </c>
      <c r="K40" s="136"/>
      <c r="L40" s="152">
        <f t="shared" si="1"/>
        <v>38235</v>
      </c>
    </row>
    <row r="41" spans="1:12" ht="12.75">
      <c r="A41" s="5">
        <v>29</v>
      </c>
      <c r="B41" s="6" t="s">
        <v>46</v>
      </c>
      <c r="C41" s="7">
        <v>4550</v>
      </c>
      <c r="D41" s="145">
        <v>0</v>
      </c>
      <c r="E41" s="137"/>
      <c r="F41" s="145">
        <v>0</v>
      </c>
      <c r="G41" s="137"/>
      <c r="H41" s="145">
        <v>0</v>
      </c>
      <c r="I41" s="137"/>
      <c r="J41" s="145">
        <v>0</v>
      </c>
      <c r="K41" s="137"/>
      <c r="L41" s="152">
        <f t="shared" si="1"/>
        <v>0</v>
      </c>
    </row>
    <row r="42" spans="1:12" ht="12.75">
      <c r="A42" s="5">
        <v>30</v>
      </c>
      <c r="B42" s="6" t="s">
        <v>47</v>
      </c>
      <c r="C42" s="7">
        <v>4600</v>
      </c>
      <c r="D42" s="145">
        <v>3353</v>
      </c>
      <c r="E42" s="136"/>
      <c r="F42" s="145">
        <v>0</v>
      </c>
      <c r="G42" s="136"/>
      <c r="H42" s="145">
        <v>0</v>
      </c>
      <c r="I42" s="136"/>
      <c r="J42" s="145">
        <v>0</v>
      </c>
      <c r="K42" s="136"/>
      <c r="L42" s="152">
        <f t="shared" si="1"/>
        <v>3353</v>
      </c>
    </row>
    <row r="43" spans="1:12" ht="12.75">
      <c r="A43" s="5">
        <v>31</v>
      </c>
      <c r="B43" s="6" t="s">
        <v>48</v>
      </c>
      <c r="C43" s="7">
        <v>4650</v>
      </c>
      <c r="D43" s="145">
        <v>15758</v>
      </c>
      <c r="E43" s="136"/>
      <c r="F43" s="145">
        <v>43</v>
      </c>
      <c r="G43" s="136"/>
      <c r="H43" s="145">
        <v>0</v>
      </c>
      <c r="I43" s="136"/>
      <c r="J43" s="145">
        <v>0</v>
      </c>
      <c r="K43" s="136"/>
      <c r="L43" s="152">
        <f t="shared" si="1"/>
        <v>15801</v>
      </c>
    </row>
    <row r="44" spans="1:12" ht="12.75">
      <c r="A44" s="5">
        <v>32</v>
      </c>
      <c r="B44" s="6" t="s">
        <v>49</v>
      </c>
      <c r="C44" s="7">
        <v>4700</v>
      </c>
      <c r="D44" s="145">
        <v>14924</v>
      </c>
      <c r="E44" s="136"/>
      <c r="F44" s="145">
        <v>0</v>
      </c>
      <c r="G44" s="136"/>
      <c r="H44" s="145">
        <v>0</v>
      </c>
      <c r="I44" s="136"/>
      <c r="J44" s="145">
        <v>0</v>
      </c>
      <c r="K44" s="136"/>
      <c r="L44" s="152">
        <f t="shared" si="1"/>
        <v>14924</v>
      </c>
    </row>
    <row r="45" spans="1:12" ht="12.75">
      <c r="A45" s="5">
        <v>33</v>
      </c>
      <c r="B45" s="6" t="s">
        <v>50</v>
      </c>
      <c r="C45" s="7">
        <v>4750</v>
      </c>
      <c r="D45" s="145">
        <v>56070</v>
      </c>
      <c r="E45" s="136"/>
      <c r="F45" s="145">
        <v>0</v>
      </c>
      <c r="G45" s="136"/>
      <c r="H45" s="145">
        <v>0</v>
      </c>
      <c r="I45" s="136"/>
      <c r="J45" s="145">
        <v>0</v>
      </c>
      <c r="K45" s="136"/>
      <c r="L45" s="152">
        <f t="shared" si="1"/>
        <v>56070</v>
      </c>
    </row>
    <row r="46" spans="1:12" ht="12.75">
      <c r="A46" s="5">
        <v>34</v>
      </c>
      <c r="B46" s="6" t="s">
        <v>51</v>
      </c>
      <c r="C46" s="7">
        <v>4760</v>
      </c>
      <c r="D46" s="145">
        <v>12000</v>
      </c>
      <c r="E46" s="136"/>
      <c r="F46" s="145">
        <v>0</v>
      </c>
      <c r="G46" s="136"/>
      <c r="H46" s="145">
        <v>0</v>
      </c>
      <c r="I46" s="136"/>
      <c r="J46" s="145">
        <v>0</v>
      </c>
      <c r="K46" s="136"/>
      <c r="L46" s="152">
        <f t="shared" si="1"/>
        <v>12000</v>
      </c>
    </row>
    <row r="47" spans="1:12" ht="12.75">
      <c r="A47" s="5">
        <v>35</v>
      </c>
      <c r="B47" s="6" t="s">
        <v>52</v>
      </c>
      <c r="C47" s="7">
        <v>4780</v>
      </c>
      <c r="D47" s="145">
        <v>22659</v>
      </c>
      <c r="E47" s="136"/>
      <c r="F47" s="145">
        <v>0</v>
      </c>
      <c r="G47" s="136"/>
      <c r="H47" s="145">
        <v>0</v>
      </c>
      <c r="I47" s="136"/>
      <c r="J47" s="145">
        <v>0</v>
      </c>
      <c r="K47" s="136"/>
      <c r="L47" s="152">
        <f t="shared" si="1"/>
        <v>22659</v>
      </c>
    </row>
    <row r="48" spans="1:12" ht="12.75">
      <c r="A48" s="5">
        <v>36</v>
      </c>
      <c r="B48" s="6" t="s">
        <v>53</v>
      </c>
      <c r="C48" s="7">
        <v>4790</v>
      </c>
      <c r="D48" s="145">
        <v>1000</v>
      </c>
      <c r="E48" s="136"/>
      <c r="F48" s="145">
        <v>0</v>
      </c>
      <c r="G48" s="136"/>
      <c r="H48" s="145">
        <v>0</v>
      </c>
      <c r="I48" s="136"/>
      <c r="J48" s="145">
        <v>0</v>
      </c>
      <c r="K48" s="136"/>
      <c r="L48" s="152">
        <f t="shared" si="1"/>
        <v>1000</v>
      </c>
    </row>
    <row r="49" spans="1:12" ht="12.75">
      <c r="A49" s="5">
        <v>37</v>
      </c>
      <c r="B49" s="6" t="s">
        <v>27</v>
      </c>
      <c r="C49" s="7">
        <v>4800</v>
      </c>
      <c r="D49" s="146">
        <v>26690</v>
      </c>
      <c r="E49" s="137"/>
      <c r="F49" s="145">
        <v>6079</v>
      </c>
      <c r="G49" s="137"/>
      <c r="H49" s="145">
        <v>0</v>
      </c>
      <c r="I49" s="137"/>
      <c r="J49" s="145">
        <v>715</v>
      </c>
      <c r="K49" s="137"/>
      <c r="L49" s="152">
        <f t="shared" si="1"/>
        <v>33484</v>
      </c>
    </row>
    <row r="50" spans="1:12" ht="12.75">
      <c r="A50" s="5" t="s">
        <v>87</v>
      </c>
      <c r="C50" s="8"/>
      <c r="D50" s="147"/>
      <c r="E50" s="137"/>
      <c r="F50" s="139"/>
      <c r="G50" s="137"/>
      <c r="H50" s="139"/>
      <c r="I50" s="137"/>
      <c r="J50" s="139"/>
      <c r="K50" s="137"/>
      <c r="L50" s="137"/>
    </row>
    <row r="51" spans="1:12" ht="13.5" thickBot="1">
      <c r="A51" s="5">
        <v>38</v>
      </c>
      <c r="B51" s="6" t="s">
        <v>55</v>
      </c>
      <c r="C51" s="7"/>
      <c r="D51" s="135">
        <v>600664</v>
      </c>
      <c r="E51" s="137"/>
      <c r="F51" s="141">
        <v>38652</v>
      </c>
      <c r="G51" s="137"/>
      <c r="H51" s="141">
        <v>0</v>
      </c>
      <c r="I51" s="137"/>
      <c r="J51" s="141">
        <v>715</v>
      </c>
      <c r="K51" s="137"/>
      <c r="L51" s="155">
        <f>SUM(L25:L49)</f>
        <v>640031</v>
      </c>
    </row>
    <row r="52" spans="1:12" ht="12.75">
      <c r="A52" s="6" t="s">
        <v>54</v>
      </c>
      <c r="C52" s="8"/>
      <c r="D52" s="148"/>
      <c r="E52" s="137"/>
      <c r="F52" s="140"/>
      <c r="G52" s="137"/>
      <c r="H52" s="140"/>
      <c r="I52" s="137"/>
      <c r="J52" s="140"/>
      <c r="K52" s="137"/>
      <c r="L52" s="137"/>
    </row>
    <row r="53" spans="1:12" ht="13.5" thickBot="1">
      <c r="A53" s="5">
        <v>39</v>
      </c>
      <c r="B53" s="6" t="s">
        <v>56</v>
      </c>
      <c r="C53" s="7"/>
      <c r="D53" s="149">
        <v>2269.5400000000373</v>
      </c>
      <c r="E53" s="137"/>
      <c r="F53" s="149">
        <v>-21729</v>
      </c>
      <c r="G53" s="137"/>
      <c r="H53" s="149">
        <v>0</v>
      </c>
      <c r="I53" s="137"/>
      <c r="J53" s="149">
        <v>11372</v>
      </c>
      <c r="K53" s="137"/>
      <c r="L53" s="160">
        <f>L22-L51</f>
        <v>-8087.459999999963</v>
      </c>
    </row>
    <row r="54" spans="1:10" ht="13.5" thickTop="1">
      <c r="A54" s="6" t="s">
        <v>54</v>
      </c>
      <c r="B54" s="6" t="s">
        <v>57</v>
      </c>
      <c r="C54" s="7"/>
      <c r="D54" s="148"/>
      <c r="F54" s="139"/>
      <c r="H54" s="139"/>
      <c r="J54" s="139"/>
    </row>
    <row r="55" spans="1:4" ht="12.75">
      <c r="A55" s="6" t="s">
        <v>54</v>
      </c>
      <c r="C55" s="8"/>
      <c r="D55" s="148"/>
    </row>
    <row r="56" spans="1:12" ht="13.5" thickBot="1">
      <c r="A56" s="17">
        <v>40</v>
      </c>
      <c r="B56" s="1" t="s">
        <v>58</v>
      </c>
      <c r="C56" s="8"/>
      <c r="D56" s="139" t="s">
        <v>59</v>
      </c>
      <c r="F56" s="139" t="s">
        <v>59</v>
      </c>
      <c r="H56" s="139" t="s">
        <v>59</v>
      </c>
      <c r="J56" s="139" t="s">
        <v>59</v>
      </c>
      <c r="L56" s="161">
        <v>0</v>
      </c>
    </row>
    <row r="57" spans="1:10" ht="13.5" thickTop="1">
      <c r="A57" s="6" t="s">
        <v>54</v>
      </c>
      <c r="B57" s="6" t="s">
        <v>60</v>
      </c>
      <c r="C57" s="7"/>
      <c r="F57" s="139" t="s">
        <v>59</v>
      </c>
      <c r="H57" s="139" t="s">
        <v>59</v>
      </c>
      <c r="J57" s="139" t="s">
        <v>59</v>
      </c>
    </row>
    <row r="59" ht="12.75">
      <c r="C59" s="8"/>
    </row>
  </sheetData>
  <sheetProtection/>
  <printOptions/>
  <pageMargins left="0.75" right="0.75" top="1" bottom="1" header="0.5" footer="0.5"/>
  <pageSetup fitToHeight="1" fitToWidth="1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57421875" style="1" bestFit="1" customWidth="1"/>
    <col min="2" max="2" width="58.00390625" style="1" bestFit="1" customWidth="1"/>
    <col min="3" max="3" width="10.57421875" style="1" bestFit="1" customWidth="1"/>
    <col min="4" max="4" width="11.28125" style="134" bestFit="1" customWidth="1"/>
    <col min="5" max="5" width="3.57421875" style="134" customWidth="1"/>
    <col min="6" max="6" width="17.28125" style="134" bestFit="1" customWidth="1"/>
    <col min="7" max="7" width="3.7109375" style="134" customWidth="1"/>
    <col min="8" max="8" width="17.00390625" style="134" bestFit="1" customWidth="1"/>
    <col min="9" max="9" width="3.57421875" style="134" customWidth="1"/>
    <col min="10" max="10" width="21.57421875" style="134" bestFit="1" customWidth="1"/>
    <col min="11" max="11" width="3.7109375" style="134" customWidth="1"/>
    <col min="12" max="12" width="9.8515625" style="134" bestFit="1" customWidth="1"/>
    <col min="13" max="16384" width="9.140625" style="1" customWidth="1"/>
  </cols>
  <sheetData>
    <row r="1" spans="2:12" s="9" customFormat="1" ht="12.75">
      <c r="B1" s="11" t="s">
        <v>61</v>
      </c>
      <c r="C1" s="11"/>
      <c r="D1" s="127"/>
      <c r="E1" s="127"/>
      <c r="F1" s="128" t="s">
        <v>62</v>
      </c>
      <c r="G1" s="127"/>
      <c r="H1" s="129" t="s">
        <v>63</v>
      </c>
      <c r="I1" s="127"/>
      <c r="J1" s="130" t="s">
        <v>64</v>
      </c>
      <c r="K1" s="127"/>
      <c r="L1" s="134"/>
    </row>
    <row r="2" spans="2:12" s="9" customFormat="1" ht="12.75">
      <c r="B2" s="11" t="s">
        <v>65</v>
      </c>
      <c r="C2" s="11"/>
      <c r="D2" s="127"/>
      <c r="E2" s="127"/>
      <c r="F2" s="127"/>
      <c r="G2" s="127"/>
      <c r="H2" s="131" t="s">
        <v>66</v>
      </c>
      <c r="I2" s="127"/>
      <c r="J2" s="132" t="s">
        <v>0</v>
      </c>
      <c r="K2" s="127"/>
      <c r="L2" s="134"/>
    </row>
    <row r="3" spans="2:12" s="9" customFormat="1" ht="12.75">
      <c r="B3" s="11" t="s">
        <v>1</v>
      </c>
      <c r="C3" s="11"/>
      <c r="D3" s="127"/>
      <c r="E3" s="127"/>
      <c r="F3" s="127"/>
      <c r="G3" s="127"/>
      <c r="H3" s="127"/>
      <c r="I3" s="127"/>
      <c r="J3" s="127"/>
      <c r="K3" s="127"/>
      <c r="L3" s="134"/>
    </row>
    <row r="4" spans="4:12" s="9" customFormat="1" ht="12.75">
      <c r="D4" s="133" t="s">
        <v>3</v>
      </c>
      <c r="E4" s="127"/>
      <c r="F4" s="133" t="s">
        <v>4</v>
      </c>
      <c r="G4" s="127"/>
      <c r="H4" s="133" t="s">
        <v>5</v>
      </c>
      <c r="I4" s="127"/>
      <c r="J4" s="133" t="s">
        <v>6</v>
      </c>
      <c r="K4" s="127"/>
      <c r="L4" s="133" t="s">
        <v>7</v>
      </c>
    </row>
    <row r="5" spans="2:12" ht="12.75">
      <c r="B5" s="9"/>
      <c r="C5" s="21" t="s">
        <v>2</v>
      </c>
      <c r="D5" s="128" t="s">
        <v>54</v>
      </c>
      <c r="E5" s="127"/>
      <c r="F5" s="133"/>
      <c r="G5" s="127"/>
      <c r="H5" s="133"/>
      <c r="I5" s="127"/>
      <c r="J5" s="128" t="s">
        <v>54</v>
      </c>
      <c r="K5" s="127"/>
      <c r="L5" s="127"/>
    </row>
    <row r="6" spans="2:12" ht="12.75">
      <c r="B6" s="9"/>
      <c r="C6" s="21" t="s">
        <v>8</v>
      </c>
      <c r="D6" s="133" t="s">
        <v>9</v>
      </c>
      <c r="E6" s="127"/>
      <c r="F6" s="133" t="s">
        <v>10</v>
      </c>
      <c r="G6" s="127"/>
      <c r="H6" s="133" t="s">
        <v>11</v>
      </c>
      <c r="I6" s="127"/>
      <c r="J6" s="133" t="s">
        <v>12</v>
      </c>
      <c r="K6" s="127"/>
      <c r="L6" s="133" t="s">
        <v>13</v>
      </c>
    </row>
    <row r="7" spans="2:3" ht="12.75">
      <c r="B7" s="10" t="s">
        <v>14</v>
      </c>
      <c r="C7" s="15"/>
    </row>
    <row r="8" spans="1:14" ht="12.75">
      <c r="A8" s="5">
        <v>1</v>
      </c>
      <c r="B8" s="6" t="s">
        <v>15</v>
      </c>
      <c r="C8" s="4">
        <v>3000</v>
      </c>
      <c r="D8" s="150">
        <v>472000</v>
      </c>
      <c r="E8" s="136"/>
      <c r="F8" s="151">
        <v>0</v>
      </c>
      <c r="G8" s="136"/>
      <c r="H8" s="151">
        <v>0</v>
      </c>
      <c r="I8" s="137"/>
      <c r="J8" s="152">
        <v>0</v>
      </c>
      <c r="K8" s="137"/>
      <c r="L8" s="152">
        <f>SUM(D8:J8)</f>
        <v>472000</v>
      </c>
      <c r="M8" s="2"/>
      <c r="N8" s="1" t="s">
        <v>54</v>
      </c>
    </row>
    <row r="9" spans="1:13" ht="12.75">
      <c r="A9" s="5">
        <v>2</v>
      </c>
      <c r="B9" s="6" t="s">
        <v>16</v>
      </c>
      <c r="C9" s="4">
        <v>3020</v>
      </c>
      <c r="D9" s="146">
        <v>37000</v>
      </c>
      <c r="E9" s="136"/>
      <c r="F9" s="151">
        <v>0</v>
      </c>
      <c r="G9" s="136"/>
      <c r="H9" s="151">
        <v>0</v>
      </c>
      <c r="I9" s="137"/>
      <c r="J9" s="152">
        <v>0</v>
      </c>
      <c r="K9" s="137"/>
      <c r="L9" s="152">
        <f aca="true" t="shared" si="0" ref="L9:L22">SUM(D9:J9)</f>
        <v>37000</v>
      </c>
      <c r="M9" s="2"/>
    </row>
    <row r="10" spans="1:13" ht="12.75">
      <c r="A10" s="5">
        <v>3</v>
      </c>
      <c r="B10" s="6" t="s">
        <v>17</v>
      </c>
      <c r="C10" s="4">
        <v>3030</v>
      </c>
      <c r="D10" s="146">
        <v>26000</v>
      </c>
      <c r="E10" s="136"/>
      <c r="F10" s="151">
        <v>0</v>
      </c>
      <c r="G10" s="136"/>
      <c r="H10" s="151">
        <v>0</v>
      </c>
      <c r="I10" s="137"/>
      <c r="J10" s="152">
        <v>0</v>
      </c>
      <c r="K10" s="137"/>
      <c r="L10" s="152">
        <f t="shared" si="0"/>
        <v>26000</v>
      </c>
      <c r="M10" s="2"/>
    </row>
    <row r="11" spans="1:13" ht="12.75">
      <c r="A11" s="5">
        <v>4</v>
      </c>
      <c r="B11" s="6" t="s">
        <v>67</v>
      </c>
      <c r="C11" s="4">
        <v>3040</v>
      </c>
      <c r="D11" s="146">
        <v>7700</v>
      </c>
      <c r="E11" s="136"/>
      <c r="F11" s="151">
        <v>0</v>
      </c>
      <c r="G11" s="136"/>
      <c r="H11" s="151">
        <v>0</v>
      </c>
      <c r="I11" s="137"/>
      <c r="J11" s="152">
        <v>0</v>
      </c>
      <c r="K11" s="137"/>
      <c r="L11" s="152">
        <f t="shared" si="0"/>
        <v>7700</v>
      </c>
      <c r="M11" s="2"/>
    </row>
    <row r="12" spans="1:13" ht="12.75">
      <c r="A12" s="5">
        <v>5</v>
      </c>
      <c r="B12" s="6" t="s">
        <v>19</v>
      </c>
      <c r="C12" s="4">
        <v>3100</v>
      </c>
      <c r="D12" s="152">
        <v>0</v>
      </c>
      <c r="E12" s="137"/>
      <c r="F12" s="152">
        <v>13575</v>
      </c>
      <c r="G12" s="137"/>
      <c r="H12" s="152">
        <v>0</v>
      </c>
      <c r="I12" s="137"/>
      <c r="J12" s="152">
        <v>0</v>
      </c>
      <c r="K12" s="137"/>
      <c r="L12" s="152">
        <f t="shared" si="0"/>
        <v>13575</v>
      </c>
      <c r="M12" s="2"/>
    </row>
    <row r="13" spans="1:13" ht="12.75">
      <c r="A13" s="5">
        <v>6</v>
      </c>
      <c r="B13" s="6" t="s">
        <v>20</v>
      </c>
      <c r="C13" s="4">
        <v>3110</v>
      </c>
      <c r="D13" s="138">
        <v>350</v>
      </c>
      <c r="E13" s="138"/>
      <c r="F13" s="146">
        <v>500</v>
      </c>
      <c r="G13" s="136"/>
      <c r="H13" s="152">
        <v>0</v>
      </c>
      <c r="I13" s="137"/>
      <c r="J13" s="152">
        <v>0</v>
      </c>
      <c r="K13" s="137"/>
      <c r="L13" s="152">
        <f t="shared" si="0"/>
        <v>850</v>
      </c>
      <c r="M13" s="2"/>
    </row>
    <row r="14" spans="1:13" ht="12.75">
      <c r="A14" s="5">
        <v>7</v>
      </c>
      <c r="B14" s="6" t="s">
        <v>21</v>
      </c>
      <c r="C14" s="4">
        <v>3200</v>
      </c>
      <c r="D14" s="152">
        <v>0</v>
      </c>
      <c r="E14" s="137"/>
      <c r="F14" s="152">
        <v>0</v>
      </c>
      <c r="G14" s="136"/>
      <c r="H14" s="152">
        <v>0</v>
      </c>
      <c r="I14" s="137"/>
      <c r="J14" s="152">
        <v>0</v>
      </c>
      <c r="K14" s="137"/>
      <c r="L14" s="152">
        <f t="shared" si="0"/>
        <v>0</v>
      </c>
      <c r="M14" s="2"/>
    </row>
    <row r="15" spans="1:13" ht="12.75">
      <c r="A15" s="5">
        <v>8</v>
      </c>
      <c r="B15" s="6" t="s">
        <v>68</v>
      </c>
      <c r="C15" s="4">
        <v>3350</v>
      </c>
      <c r="D15" s="152">
        <v>0</v>
      </c>
      <c r="E15" s="137"/>
      <c r="F15" s="152">
        <v>0</v>
      </c>
      <c r="G15" s="137"/>
      <c r="H15" s="152">
        <v>0</v>
      </c>
      <c r="I15" s="137"/>
      <c r="J15" s="152">
        <v>10000</v>
      </c>
      <c r="K15" s="137"/>
      <c r="L15" s="152">
        <f t="shared" si="0"/>
        <v>10000</v>
      </c>
      <c r="M15" s="2"/>
    </row>
    <row r="16" spans="1:13" ht="12.75">
      <c r="A16" s="5">
        <v>9</v>
      </c>
      <c r="B16" s="6" t="s">
        <v>69</v>
      </c>
      <c r="C16" s="4">
        <v>3450</v>
      </c>
      <c r="D16" s="146">
        <v>63900</v>
      </c>
      <c r="E16" s="136"/>
      <c r="F16" s="152">
        <v>0</v>
      </c>
      <c r="G16" s="136"/>
      <c r="H16" s="152">
        <v>0</v>
      </c>
      <c r="I16" s="137"/>
      <c r="J16" s="152">
        <v>0</v>
      </c>
      <c r="K16" s="137"/>
      <c r="L16" s="152">
        <f t="shared" si="0"/>
        <v>63900</v>
      </c>
      <c r="M16" s="2"/>
    </row>
    <row r="17" spans="1:13" ht="12.75">
      <c r="A17" s="5">
        <v>10</v>
      </c>
      <c r="B17" s="6" t="s">
        <v>70</v>
      </c>
      <c r="C17" s="4">
        <v>3500</v>
      </c>
      <c r="D17" s="146">
        <v>315</v>
      </c>
      <c r="E17" s="136"/>
      <c r="F17" s="152">
        <v>0</v>
      </c>
      <c r="G17" s="136"/>
      <c r="H17" s="152">
        <v>0</v>
      </c>
      <c r="I17" s="137"/>
      <c r="J17" s="152">
        <v>0</v>
      </c>
      <c r="K17" s="137"/>
      <c r="L17" s="152">
        <f t="shared" si="0"/>
        <v>315</v>
      </c>
      <c r="M17" s="2"/>
    </row>
    <row r="18" spans="1:13" ht="12.75">
      <c r="A18" s="5">
        <v>11</v>
      </c>
      <c r="B18" s="6" t="s">
        <v>25</v>
      </c>
      <c r="C18" s="4">
        <v>3550</v>
      </c>
      <c r="D18" s="152">
        <v>0</v>
      </c>
      <c r="E18" s="137"/>
      <c r="F18" s="152">
        <v>0</v>
      </c>
      <c r="G18" s="137"/>
      <c r="H18" s="152">
        <v>0</v>
      </c>
      <c r="I18" s="137"/>
      <c r="J18" s="152">
        <v>0</v>
      </c>
      <c r="K18" s="137"/>
      <c r="L18" s="152">
        <f t="shared" si="0"/>
        <v>0</v>
      </c>
      <c r="M18" s="2"/>
    </row>
    <row r="19" spans="1:13" ht="12.75">
      <c r="A19" s="5">
        <v>12</v>
      </c>
      <c r="B19" s="6" t="s">
        <v>26</v>
      </c>
      <c r="C19" s="4">
        <v>3600</v>
      </c>
      <c r="D19" s="151">
        <v>0</v>
      </c>
      <c r="E19" s="136"/>
      <c r="F19" s="152">
        <v>0</v>
      </c>
      <c r="G19" s="136"/>
      <c r="H19" s="152">
        <v>0</v>
      </c>
      <c r="I19" s="137"/>
      <c r="J19" s="152">
        <v>0</v>
      </c>
      <c r="K19" s="137"/>
      <c r="L19" s="152">
        <f t="shared" si="0"/>
        <v>0</v>
      </c>
      <c r="M19" s="2"/>
    </row>
    <row r="20" spans="1:13" ht="12.75">
      <c r="A20" s="5">
        <v>13</v>
      </c>
      <c r="B20" s="6" t="s">
        <v>71</v>
      </c>
      <c r="C20" s="4">
        <v>3700</v>
      </c>
      <c r="D20" s="153">
        <v>13500</v>
      </c>
      <c r="E20" s="137"/>
      <c r="F20" s="152">
        <v>0</v>
      </c>
      <c r="G20" s="137"/>
      <c r="H20" s="152">
        <v>0</v>
      </c>
      <c r="I20" s="137"/>
      <c r="J20" s="152">
        <v>0</v>
      </c>
      <c r="K20" s="137"/>
      <c r="L20" s="152">
        <f t="shared" si="0"/>
        <v>13500</v>
      </c>
      <c r="M20" s="2"/>
    </row>
    <row r="21" spans="1:13" ht="12.75">
      <c r="A21" s="5"/>
      <c r="B21" s="6"/>
      <c r="C21" s="4"/>
      <c r="D21" s="154"/>
      <c r="E21" s="137"/>
      <c r="F21" s="154"/>
      <c r="G21" s="137"/>
      <c r="H21" s="154"/>
      <c r="I21" s="137"/>
      <c r="J21" s="154"/>
      <c r="K21" s="137"/>
      <c r="L21" s="154"/>
      <c r="M21" s="2"/>
    </row>
    <row r="22" spans="1:13" ht="13.5" thickBot="1">
      <c r="A22" s="5">
        <v>14</v>
      </c>
      <c r="B22" s="6" t="s">
        <v>28</v>
      </c>
      <c r="C22" s="4"/>
      <c r="D22" s="155">
        <f>SUM(D8:D20)</f>
        <v>620765</v>
      </c>
      <c r="E22" s="137"/>
      <c r="F22" s="155">
        <f>SUM(F8:F20)</f>
        <v>14075</v>
      </c>
      <c r="G22" s="137"/>
      <c r="H22" s="155">
        <f>SUM(H8:H20)</f>
        <v>0</v>
      </c>
      <c r="I22" s="137"/>
      <c r="J22" s="155">
        <f>SUM(J8:J20)</f>
        <v>10000</v>
      </c>
      <c r="K22" s="137"/>
      <c r="L22" s="155">
        <f t="shared" si="0"/>
        <v>644840</v>
      </c>
      <c r="M22" s="2"/>
    </row>
    <row r="23" spans="3:13" ht="12.75">
      <c r="C23" s="3"/>
      <c r="D23" s="137"/>
      <c r="E23" s="137"/>
      <c r="F23" s="137"/>
      <c r="G23" s="137"/>
      <c r="H23" s="137"/>
      <c r="I23" s="137"/>
      <c r="J23" s="137"/>
      <c r="K23" s="137"/>
      <c r="L23" s="137"/>
      <c r="M23" s="2"/>
    </row>
    <row r="24" spans="2:13" ht="12.75">
      <c r="B24" s="10" t="s">
        <v>29</v>
      </c>
      <c r="C24" s="16"/>
      <c r="D24" s="137"/>
      <c r="E24" s="137"/>
      <c r="F24" s="137"/>
      <c r="G24" s="137"/>
      <c r="H24" s="137"/>
      <c r="I24" s="137"/>
      <c r="J24" s="137"/>
      <c r="K24" s="137"/>
      <c r="L24" s="137"/>
      <c r="M24" s="2"/>
    </row>
    <row r="25" spans="1:13" ht="12.75">
      <c r="A25" s="5">
        <v>15</v>
      </c>
      <c r="B25" s="6" t="s">
        <v>72</v>
      </c>
      <c r="C25" s="4">
        <v>4010</v>
      </c>
      <c r="D25" s="152">
        <v>248225</v>
      </c>
      <c r="E25" s="137"/>
      <c r="F25" s="152">
        <v>29000</v>
      </c>
      <c r="G25" s="137"/>
      <c r="H25" s="151">
        <v>0</v>
      </c>
      <c r="I25" s="137"/>
      <c r="J25" s="152">
        <v>0</v>
      </c>
      <c r="K25" s="137"/>
      <c r="L25" s="152">
        <f>SUM(D25:J25)</f>
        <v>277225</v>
      </c>
      <c r="M25" s="2"/>
    </row>
    <row r="26" spans="2:13" s="20" customFormat="1" ht="12.75">
      <c r="B26" s="13" t="s">
        <v>31</v>
      </c>
      <c r="C26" s="14"/>
      <c r="D26" s="156"/>
      <c r="E26" s="144"/>
      <c r="F26" s="156"/>
      <c r="G26" s="144"/>
      <c r="H26" s="156"/>
      <c r="I26" s="144"/>
      <c r="J26" s="156"/>
      <c r="K26" s="144"/>
      <c r="L26" s="156"/>
      <c r="M26" s="2"/>
    </row>
    <row r="27" spans="1:13" ht="12.75">
      <c r="A27" s="5">
        <v>16</v>
      </c>
      <c r="B27" s="19" t="s">
        <v>73</v>
      </c>
      <c r="C27" s="4">
        <v>4030</v>
      </c>
      <c r="D27" s="152">
        <v>28416</v>
      </c>
      <c r="E27" s="137"/>
      <c r="F27" s="152">
        <v>7104</v>
      </c>
      <c r="G27" s="137"/>
      <c r="H27" s="151">
        <v>0</v>
      </c>
      <c r="I27" s="137"/>
      <c r="J27" s="152">
        <v>0</v>
      </c>
      <c r="K27" s="137"/>
      <c r="L27" s="152">
        <f aca="true" t="shared" si="1" ref="L27:L49">SUM(D27:J27)</f>
        <v>35520</v>
      </c>
      <c r="M27" s="2"/>
    </row>
    <row r="28" spans="1:13" ht="12.75">
      <c r="A28" s="5">
        <v>17</v>
      </c>
      <c r="B28" s="19" t="s">
        <v>74</v>
      </c>
      <c r="C28" s="4">
        <v>4040</v>
      </c>
      <c r="D28" s="152">
        <v>15326.6985</v>
      </c>
      <c r="E28" s="137"/>
      <c r="F28" s="152">
        <v>2218.5</v>
      </c>
      <c r="G28" s="137"/>
      <c r="H28" s="151">
        <v>0</v>
      </c>
      <c r="I28" s="137"/>
      <c r="J28" s="152">
        <v>0</v>
      </c>
      <c r="K28" s="137"/>
      <c r="L28" s="152">
        <f t="shared" si="1"/>
        <v>17545.1985</v>
      </c>
      <c r="M28" s="2"/>
    </row>
    <row r="29" spans="1:13" ht="12.75">
      <c r="A29" s="5">
        <v>18</v>
      </c>
      <c r="B29" s="19" t="s">
        <v>75</v>
      </c>
      <c r="C29" s="4">
        <v>4050</v>
      </c>
      <c r="D29" s="152">
        <v>10140.24</v>
      </c>
      <c r="E29" s="137"/>
      <c r="F29" s="152">
        <v>2320</v>
      </c>
      <c r="G29" s="137"/>
      <c r="H29" s="151">
        <v>0</v>
      </c>
      <c r="I29" s="137"/>
      <c r="J29" s="152">
        <v>0</v>
      </c>
      <c r="K29" s="137"/>
      <c r="L29" s="152">
        <f t="shared" si="1"/>
        <v>12460.24</v>
      </c>
      <c r="M29" s="2"/>
    </row>
    <row r="30" spans="1:13" ht="12.75">
      <c r="A30" s="5">
        <v>19</v>
      </c>
      <c r="B30" s="19" t="s">
        <v>76</v>
      </c>
      <c r="C30" s="4">
        <v>4060</v>
      </c>
      <c r="D30" s="152">
        <v>12200</v>
      </c>
      <c r="E30" s="137"/>
      <c r="F30" s="152">
        <v>0</v>
      </c>
      <c r="G30" s="137"/>
      <c r="H30" s="151">
        <v>0</v>
      </c>
      <c r="I30" s="137"/>
      <c r="J30" s="152">
        <v>0</v>
      </c>
      <c r="K30" s="137"/>
      <c r="L30" s="152">
        <f t="shared" si="1"/>
        <v>12200</v>
      </c>
      <c r="M30" s="2"/>
    </row>
    <row r="31" spans="1:13" ht="12.75">
      <c r="A31" s="5">
        <v>20</v>
      </c>
      <c r="B31" s="6" t="s">
        <v>77</v>
      </c>
      <c r="C31" s="4">
        <v>4100</v>
      </c>
      <c r="D31" s="151">
        <v>3150</v>
      </c>
      <c r="E31" s="136"/>
      <c r="F31" s="151">
        <v>2100</v>
      </c>
      <c r="G31" s="136"/>
      <c r="H31" s="151">
        <v>0</v>
      </c>
      <c r="I31" s="137"/>
      <c r="J31" s="152">
        <v>0</v>
      </c>
      <c r="K31" s="137"/>
      <c r="L31" s="152">
        <f t="shared" si="1"/>
        <v>5250</v>
      </c>
      <c r="M31" s="2"/>
    </row>
    <row r="32" spans="1:13" ht="12.75">
      <c r="A32" s="5">
        <v>21</v>
      </c>
      <c r="B32" s="6" t="s">
        <v>37</v>
      </c>
      <c r="C32" s="4">
        <v>4150</v>
      </c>
      <c r="D32" s="151">
        <v>18040</v>
      </c>
      <c r="E32" s="136"/>
      <c r="F32" s="151">
        <v>1500</v>
      </c>
      <c r="G32" s="136"/>
      <c r="H32" s="151">
        <v>0</v>
      </c>
      <c r="I32" s="137"/>
      <c r="J32" s="152">
        <v>0</v>
      </c>
      <c r="K32" s="137"/>
      <c r="L32" s="152">
        <f t="shared" si="1"/>
        <v>19540</v>
      </c>
      <c r="M32" s="2"/>
    </row>
    <row r="33" spans="1:13" ht="12.75">
      <c r="A33" s="5">
        <v>22</v>
      </c>
      <c r="B33" s="6" t="s">
        <v>38</v>
      </c>
      <c r="C33" s="4">
        <v>4200</v>
      </c>
      <c r="D33" s="151">
        <v>500</v>
      </c>
      <c r="E33" s="136"/>
      <c r="F33" s="151">
        <v>0</v>
      </c>
      <c r="G33" s="136"/>
      <c r="H33" s="151">
        <v>0</v>
      </c>
      <c r="I33" s="137"/>
      <c r="J33" s="152">
        <v>0</v>
      </c>
      <c r="K33" s="137"/>
      <c r="L33" s="152">
        <f t="shared" si="1"/>
        <v>500</v>
      </c>
      <c r="M33" s="2"/>
    </row>
    <row r="34" spans="1:13" ht="12.75">
      <c r="A34" s="5">
        <v>23</v>
      </c>
      <c r="B34" s="6" t="s">
        <v>78</v>
      </c>
      <c r="C34" s="4">
        <v>4250</v>
      </c>
      <c r="D34" s="151">
        <v>12798</v>
      </c>
      <c r="E34" s="136"/>
      <c r="F34" s="151">
        <v>0</v>
      </c>
      <c r="G34" s="136"/>
      <c r="H34" s="151">
        <v>0</v>
      </c>
      <c r="I34" s="137"/>
      <c r="J34" s="152">
        <v>0</v>
      </c>
      <c r="K34" s="137"/>
      <c r="L34" s="152">
        <f t="shared" si="1"/>
        <v>12798</v>
      </c>
      <c r="M34" s="2"/>
    </row>
    <row r="35" spans="1:13" ht="12.75">
      <c r="A35" s="18"/>
      <c r="B35" s="13" t="s">
        <v>40</v>
      </c>
      <c r="C35" s="14"/>
      <c r="D35" s="145"/>
      <c r="F35" s="145"/>
      <c r="H35" s="145"/>
      <c r="J35" s="145"/>
      <c r="L35" s="152">
        <f t="shared" si="1"/>
        <v>0</v>
      </c>
      <c r="M35" s="2"/>
    </row>
    <row r="36" spans="1:13" ht="12.75">
      <c r="A36" s="5">
        <v>24</v>
      </c>
      <c r="B36" s="19" t="s">
        <v>79</v>
      </c>
      <c r="C36" s="4">
        <v>4400</v>
      </c>
      <c r="D36" s="151">
        <v>2800</v>
      </c>
      <c r="E36" s="136"/>
      <c r="F36" s="151">
        <v>0</v>
      </c>
      <c r="G36" s="136"/>
      <c r="H36" s="151">
        <v>0</v>
      </c>
      <c r="I36" s="137"/>
      <c r="J36" s="152">
        <v>0</v>
      </c>
      <c r="K36" s="137"/>
      <c r="L36" s="152">
        <f t="shared" si="1"/>
        <v>2800</v>
      </c>
      <c r="M36" s="2"/>
    </row>
    <row r="37" spans="1:13" ht="12.75">
      <c r="A37" s="5">
        <v>25</v>
      </c>
      <c r="B37" s="19" t="s">
        <v>80</v>
      </c>
      <c r="C37" s="4">
        <v>4410</v>
      </c>
      <c r="D37" s="151">
        <v>44000</v>
      </c>
      <c r="E37" s="136"/>
      <c r="F37" s="151">
        <v>0</v>
      </c>
      <c r="G37" s="136"/>
      <c r="H37" s="151">
        <v>0</v>
      </c>
      <c r="I37" s="137"/>
      <c r="J37" s="152">
        <v>0</v>
      </c>
      <c r="K37" s="137"/>
      <c r="L37" s="152">
        <f t="shared" si="1"/>
        <v>44000</v>
      </c>
      <c r="M37" s="2"/>
    </row>
    <row r="38" spans="1:13" ht="12.75">
      <c r="A38" s="5">
        <v>26</v>
      </c>
      <c r="B38" s="19" t="s">
        <v>81</v>
      </c>
      <c r="C38" s="4">
        <v>4420</v>
      </c>
      <c r="D38" s="151">
        <v>18000</v>
      </c>
      <c r="E38" s="136"/>
      <c r="F38" s="151">
        <v>0</v>
      </c>
      <c r="G38" s="136"/>
      <c r="H38" s="151">
        <v>0</v>
      </c>
      <c r="I38" s="137"/>
      <c r="J38" s="152">
        <v>0</v>
      </c>
      <c r="K38" s="137"/>
      <c r="L38" s="152">
        <f t="shared" si="1"/>
        <v>18000</v>
      </c>
      <c r="M38" s="2"/>
    </row>
    <row r="39" spans="1:13" ht="12.75">
      <c r="A39" s="5">
        <v>27</v>
      </c>
      <c r="B39" s="19" t="s">
        <v>82</v>
      </c>
      <c r="C39" s="4">
        <v>4430</v>
      </c>
      <c r="D39" s="151">
        <v>2630</v>
      </c>
      <c r="E39" s="136"/>
      <c r="F39" s="151">
        <v>0</v>
      </c>
      <c r="G39" s="136"/>
      <c r="H39" s="151">
        <v>0</v>
      </c>
      <c r="I39" s="137"/>
      <c r="J39" s="152">
        <v>0</v>
      </c>
      <c r="K39" s="137"/>
      <c r="L39" s="152">
        <f t="shared" si="1"/>
        <v>2630</v>
      </c>
      <c r="M39" s="2"/>
    </row>
    <row r="40" spans="1:13" ht="12.75">
      <c r="A40" s="5">
        <v>28</v>
      </c>
      <c r="B40" s="6" t="s">
        <v>45</v>
      </c>
      <c r="C40" s="4">
        <v>4450</v>
      </c>
      <c r="D40" s="151">
        <v>26970</v>
      </c>
      <c r="E40" s="136"/>
      <c r="F40" s="151">
        <v>0</v>
      </c>
      <c r="G40" s="136"/>
      <c r="H40" s="151">
        <v>0</v>
      </c>
      <c r="I40" s="137"/>
      <c r="J40" s="152">
        <v>0</v>
      </c>
      <c r="K40" s="137"/>
      <c r="L40" s="152">
        <f t="shared" si="1"/>
        <v>26970</v>
      </c>
      <c r="M40" s="2"/>
    </row>
    <row r="41" spans="1:13" ht="12.75">
      <c r="A41" s="5">
        <v>29</v>
      </c>
      <c r="B41" s="6" t="s">
        <v>83</v>
      </c>
      <c r="C41" s="4">
        <v>4550</v>
      </c>
      <c r="D41" s="151">
        <v>0</v>
      </c>
      <c r="E41" s="137"/>
      <c r="F41" s="151">
        <v>0</v>
      </c>
      <c r="G41" s="137"/>
      <c r="H41" s="151">
        <v>0</v>
      </c>
      <c r="I41" s="137"/>
      <c r="J41" s="152">
        <v>0</v>
      </c>
      <c r="K41" s="137"/>
      <c r="L41" s="152">
        <f t="shared" si="1"/>
        <v>0</v>
      </c>
      <c r="M41" s="2"/>
    </row>
    <row r="42" spans="1:13" ht="12.75">
      <c r="A42" s="5">
        <v>30</v>
      </c>
      <c r="B42" s="6" t="s">
        <v>47</v>
      </c>
      <c r="C42" s="4">
        <v>4600</v>
      </c>
      <c r="D42" s="151">
        <v>0</v>
      </c>
      <c r="E42" s="136"/>
      <c r="F42" s="151">
        <v>0</v>
      </c>
      <c r="G42" s="136"/>
      <c r="H42" s="151">
        <v>0</v>
      </c>
      <c r="I42" s="137"/>
      <c r="J42" s="152">
        <v>0</v>
      </c>
      <c r="K42" s="137"/>
      <c r="L42" s="152">
        <f t="shared" si="1"/>
        <v>0</v>
      </c>
      <c r="M42" s="2"/>
    </row>
    <row r="43" spans="1:13" ht="12.75">
      <c r="A43" s="5">
        <v>31</v>
      </c>
      <c r="B43" s="6" t="s">
        <v>48</v>
      </c>
      <c r="C43" s="4">
        <v>4650</v>
      </c>
      <c r="D43" s="151">
        <v>13100</v>
      </c>
      <c r="E43" s="136"/>
      <c r="F43" s="151">
        <v>0</v>
      </c>
      <c r="G43" s="136"/>
      <c r="H43" s="151">
        <v>0</v>
      </c>
      <c r="I43" s="137"/>
      <c r="J43" s="152">
        <v>0</v>
      </c>
      <c r="K43" s="137"/>
      <c r="L43" s="152">
        <f t="shared" si="1"/>
        <v>13100</v>
      </c>
      <c r="M43" s="2"/>
    </row>
    <row r="44" spans="1:13" ht="12.75">
      <c r="A44" s="5">
        <v>32</v>
      </c>
      <c r="B44" s="6" t="s">
        <v>49</v>
      </c>
      <c r="C44" s="4">
        <v>4700</v>
      </c>
      <c r="D44" s="151">
        <v>11830</v>
      </c>
      <c r="E44" s="136"/>
      <c r="F44" s="151">
        <v>0</v>
      </c>
      <c r="G44" s="136"/>
      <c r="H44" s="151">
        <v>0</v>
      </c>
      <c r="I44" s="137"/>
      <c r="J44" s="152">
        <v>0</v>
      </c>
      <c r="K44" s="137"/>
      <c r="L44" s="152">
        <f t="shared" si="1"/>
        <v>11830</v>
      </c>
      <c r="M44" s="2"/>
    </row>
    <row r="45" spans="1:13" ht="12.75">
      <c r="A45" s="5">
        <v>33</v>
      </c>
      <c r="B45" s="6" t="s">
        <v>50</v>
      </c>
      <c r="C45" s="4">
        <v>4750</v>
      </c>
      <c r="D45" s="151">
        <v>56100</v>
      </c>
      <c r="E45" s="136"/>
      <c r="F45" s="151">
        <v>0</v>
      </c>
      <c r="G45" s="136"/>
      <c r="H45" s="151">
        <v>0</v>
      </c>
      <c r="I45" s="137"/>
      <c r="J45" s="152">
        <v>0</v>
      </c>
      <c r="K45" s="137"/>
      <c r="L45" s="152">
        <f t="shared" si="1"/>
        <v>56100</v>
      </c>
      <c r="M45" s="2"/>
    </row>
    <row r="46" spans="1:13" ht="12.75">
      <c r="A46" s="5">
        <v>34</v>
      </c>
      <c r="B46" s="6" t="s">
        <v>51</v>
      </c>
      <c r="C46" s="4">
        <v>4760</v>
      </c>
      <c r="D46" s="157">
        <v>27543</v>
      </c>
      <c r="E46" s="136"/>
      <c r="F46" s="151">
        <v>0</v>
      </c>
      <c r="G46" s="136"/>
      <c r="H46" s="151">
        <v>0</v>
      </c>
      <c r="I46" s="137"/>
      <c r="J46" s="152">
        <v>0</v>
      </c>
      <c r="K46" s="137"/>
      <c r="L46" s="152">
        <f t="shared" si="1"/>
        <v>27543</v>
      </c>
      <c r="M46" s="2"/>
    </row>
    <row r="47" spans="1:13" ht="12.75">
      <c r="A47" s="5">
        <v>35</v>
      </c>
      <c r="B47" s="6" t="s">
        <v>84</v>
      </c>
      <c r="C47" s="4">
        <v>4780</v>
      </c>
      <c r="D47" s="151">
        <v>22353</v>
      </c>
      <c r="E47" s="136"/>
      <c r="F47" s="151">
        <v>0</v>
      </c>
      <c r="G47" s="136"/>
      <c r="H47" s="151">
        <v>0</v>
      </c>
      <c r="I47" s="137"/>
      <c r="J47" s="152">
        <v>0</v>
      </c>
      <c r="K47" s="137"/>
      <c r="L47" s="152">
        <f t="shared" si="1"/>
        <v>22353</v>
      </c>
      <c r="M47" s="2"/>
    </row>
    <row r="48" spans="1:13" ht="12.75">
      <c r="A48" s="5">
        <v>36</v>
      </c>
      <c r="B48" s="6" t="s">
        <v>85</v>
      </c>
      <c r="C48" s="4">
        <v>4790</v>
      </c>
      <c r="D48" s="158">
        <v>1050</v>
      </c>
      <c r="E48" s="136"/>
      <c r="F48" s="158">
        <v>0</v>
      </c>
      <c r="G48" s="136"/>
      <c r="H48" s="158">
        <v>0</v>
      </c>
      <c r="I48" s="137"/>
      <c r="J48" s="152">
        <v>0</v>
      </c>
      <c r="K48" s="137"/>
      <c r="L48" s="152">
        <f t="shared" si="1"/>
        <v>1050</v>
      </c>
      <c r="M48" s="2"/>
    </row>
    <row r="49" spans="1:13" ht="12.75">
      <c r="A49" s="5">
        <v>37</v>
      </c>
      <c r="B49" s="6" t="s">
        <v>86</v>
      </c>
      <c r="C49" s="4">
        <v>4800</v>
      </c>
      <c r="D49" s="159">
        <v>12780</v>
      </c>
      <c r="E49" s="137"/>
      <c r="F49" s="143">
        <v>7600</v>
      </c>
      <c r="G49" s="137"/>
      <c r="H49" s="143">
        <v>0</v>
      </c>
      <c r="I49" s="137"/>
      <c r="J49" s="152">
        <v>0</v>
      </c>
      <c r="K49" s="137"/>
      <c r="L49" s="152">
        <f t="shared" si="1"/>
        <v>20380</v>
      </c>
      <c r="M49" s="2"/>
    </row>
    <row r="50" spans="1:13" ht="12.75">
      <c r="A50" s="5" t="s">
        <v>87</v>
      </c>
      <c r="C50" s="3"/>
      <c r="D50" s="137"/>
      <c r="E50" s="137"/>
      <c r="F50" s="137"/>
      <c r="G50" s="137"/>
      <c r="H50" s="137"/>
      <c r="I50" s="137"/>
      <c r="J50" s="137"/>
      <c r="K50" s="137"/>
      <c r="L50" s="137"/>
      <c r="M50" s="2"/>
    </row>
    <row r="51" spans="1:13" ht="13.5" thickBot="1">
      <c r="A51" s="5">
        <v>38</v>
      </c>
      <c r="B51" s="6" t="s">
        <v>55</v>
      </c>
      <c r="C51" s="4"/>
      <c r="D51" s="155">
        <f>SUM(D25:D49)</f>
        <v>587951.9384999999</v>
      </c>
      <c r="E51" s="137"/>
      <c r="F51" s="155">
        <f>SUM(F25:F49)</f>
        <v>51842.5</v>
      </c>
      <c r="G51" s="137"/>
      <c r="H51" s="155">
        <f>SUM(H25:H49)</f>
        <v>0</v>
      </c>
      <c r="I51" s="137"/>
      <c r="J51" s="155">
        <f>SUM(J25:J49)</f>
        <v>0</v>
      </c>
      <c r="K51" s="137"/>
      <c r="L51" s="155">
        <f>SUM(L25:L49)</f>
        <v>639794.4384999999</v>
      </c>
      <c r="M51" s="2"/>
    </row>
    <row r="52" spans="1:13" ht="12.75">
      <c r="A52" s="6" t="s">
        <v>54</v>
      </c>
      <c r="C52" s="3"/>
      <c r="D52" s="137"/>
      <c r="E52" s="137"/>
      <c r="F52" s="137"/>
      <c r="G52" s="137"/>
      <c r="H52" s="137"/>
      <c r="I52" s="137"/>
      <c r="J52" s="137"/>
      <c r="K52" s="137"/>
      <c r="L52" s="137"/>
      <c r="M52" s="2"/>
    </row>
    <row r="53" spans="1:13" ht="13.5" thickBot="1">
      <c r="A53" s="5">
        <v>39</v>
      </c>
      <c r="B53" s="6" t="s">
        <v>88</v>
      </c>
      <c r="C53" s="4"/>
      <c r="D53" s="160">
        <f>D22-D51</f>
        <v>32813.06150000007</v>
      </c>
      <c r="E53" s="137"/>
      <c r="F53" s="160">
        <f>F22-F51</f>
        <v>-37767.5</v>
      </c>
      <c r="G53" s="137"/>
      <c r="H53" s="160">
        <f>H22-H51</f>
        <v>0</v>
      </c>
      <c r="I53" s="137"/>
      <c r="J53" s="160">
        <f>J22-J51</f>
        <v>10000</v>
      </c>
      <c r="K53" s="137"/>
      <c r="L53" s="160">
        <f>L22-L51</f>
        <v>5045.561500000069</v>
      </c>
      <c r="M53" s="2"/>
    </row>
    <row r="54" spans="1:13" ht="13.5" thickTop="1">
      <c r="A54" s="6" t="s">
        <v>54</v>
      </c>
      <c r="B54" s="6" t="s">
        <v>57</v>
      </c>
      <c r="C54" s="4"/>
      <c r="M54" s="2"/>
    </row>
    <row r="55" spans="1:13" ht="12.75">
      <c r="A55" s="6" t="s">
        <v>54</v>
      </c>
      <c r="C55" s="3"/>
      <c r="M55" s="2"/>
    </row>
    <row r="56" spans="1:12" ht="13.5" thickBot="1">
      <c r="A56" s="17">
        <v>40</v>
      </c>
      <c r="B56" s="6" t="s">
        <v>89</v>
      </c>
      <c r="C56" s="4">
        <v>3750</v>
      </c>
      <c r="L56" s="161">
        <v>0</v>
      </c>
    </row>
    <row r="57" spans="1:3" ht="13.5" thickTop="1">
      <c r="A57" s="6" t="s">
        <v>54</v>
      </c>
      <c r="C57" s="3"/>
    </row>
  </sheetData>
  <sheetProtection/>
  <printOptions/>
  <pageMargins left="0.75" right="0.75" top="1" bottom="1" header="0.5" footer="0.5"/>
  <pageSetup fitToHeight="1" fitToWidth="1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Omar Khayum</cp:lastModifiedBy>
  <cp:lastPrinted>2009-11-30T23:16:17Z</cp:lastPrinted>
  <dcterms:created xsi:type="dcterms:W3CDTF">2009-08-03T01:41:13Z</dcterms:created>
  <dcterms:modified xsi:type="dcterms:W3CDTF">2009-12-13T21:10:20Z</dcterms:modified>
  <cp:category/>
  <cp:version/>
  <cp:contentType/>
  <cp:contentStatus/>
</cp:coreProperties>
</file>